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WL BSc u. BWL ÖD BSc" sheetId="1" state="visible" r:id="rId3"/>
    <sheet name="WR LLB" sheetId="2" state="visible" r:id="rId4"/>
    <sheet name="AI VZ u. AIOED BSc dual" sheetId="3" state="visible" r:id="rId5"/>
    <sheet name="DIM VZ u. dual BSc" sheetId="4" state="visible" r:id="rId6"/>
    <sheet name="IB BSc" sheetId="5" state="visible" r:id="rId7"/>
    <sheet name="CSM BSc" sheetId="6" state="visible" r:id="rId8"/>
    <sheet name="WPFS Bachelor" sheetId="7" state="visible" r:id="rId9"/>
    <sheet name="Optionen" sheetId="8" state="visible" r:id="rId10"/>
    <sheet name="WR LLM" sheetId="9" state="visible" r:id="rId11"/>
    <sheet name="Management MSc" sheetId="10" state="visible" r:id="rId12"/>
    <sheet name="IB &amp; IMLA MA" sheetId="11" state="visible" r:id="rId13"/>
    <sheet name="IMFA MSc" sheetId="12" state="visible" r:id="rId14"/>
    <sheet name="BA MSc" sheetId="13" state="visible" r:id="rId15"/>
    <sheet name="Gesamt" sheetId="14" state="visible" r:id="rId16"/>
    <sheet name="Klausurtage" sheetId="15" state="visible" r:id="rId17"/>
  </sheets>
  <definedNames>
    <definedName function="false" hidden="true" localSheetId="13" name="_xlnm._FilterDatabase" vbProcedure="false">Gesamt!$A$1:$K$455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<sst xmlns="http://schemas.openxmlformats.org/spreadsheetml/2006/main" count="3454" uniqueCount="1285">
  <si>
    <t xml:space="preserve">Semester</t>
  </si>
  <si>
    <t xml:space="preserve">Veranstnr (Hinweis: Gruppe A = Parallelgruppe 1
Gruppe B = Parallelgruppe 2
Gruppe C = Parallelgruppe 3, fortfolgend …….)
</t>
  </si>
  <si>
    <t xml:space="preserve">Veranstname</t>
  </si>
  <si>
    <t xml:space="preserve">Äquivalenz</t>
  </si>
  <si>
    <t xml:space="preserve">Teilnehmer</t>
  </si>
  <si>
    <t xml:space="preserve">Schreibzeit-verlängerung</t>
  </si>
  <si>
    <t xml:space="preserve">Tag (Änderungen vorbehalten)</t>
  </si>
  <si>
    <t xml:space="preserve">Datum (Änderungen vorbehalten)</t>
  </si>
  <si>
    <t xml:space="preserve">Uhrzeit (Änderungen vorbehalten)</t>
  </si>
  <si>
    <t xml:space="preserve">Raum (Änderungen vorbehalten)</t>
  </si>
  <si>
    <t xml:space="preserve">Lehrende (Änderungen vorbehalten)</t>
  </si>
  <si>
    <t xml:space="preserve">20252</t>
  </si>
  <si>
    <t xml:space="preserve">021/D43-3151 (A)</t>
  </si>
  <si>
    <t xml:space="preserve">Introduction to Business</t>
  </si>
  <si>
    <t xml:space="preserve">2101, 1101</t>
  </si>
  <si>
    <t xml:space="preserve">1-Mo</t>
  </si>
  <si>
    <t xml:space="preserve">07:45 - 09:15</t>
  </si>
  <si>
    <t xml:space="preserve">Aula</t>
  </si>
  <si>
    <t xml:space="preserve">Schäfer, Melanie, Frau (LBA) - 0.500 SWS;Weyer, Kira, Frau Prof. Dr. (Prof) - 3.500 SWS</t>
  </si>
  <si>
    <t xml:space="preserve">021-3151 (B)</t>
  </si>
  <si>
    <t xml:space="preserve">Weyer, Kira, Frau Prof. Dr. (Prof) - 4.000 SWS</t>
  </si>
  <si>
    <t xml:space="preserve">021-3151 (C)</t>
  </si>
  <si>
    <t xml:space="preserve">a3.10, a3.08</t>
  </si>
  <si>
    <t xml:space="preserve">Weyer, Kira, Frau Prof. Dr. (Prof) - 3.500 SWS;Wunder, Andreas, Herr (Ass) - 0.500 SWS</t>
  </si>
  <si>
    <t xml:space="preserve">021/D43-3102 (A )</t>
  </si>
  <si>
    <t xml:space="preserve">Mathematik</t>
  </si>
  <si>
    <t xml:space="preserve">2102, 1104</t>
  </si>
  <si>
    <t xml:space="preserve">2-Mo</t>
  </si>
  <si>
    <t xml:space="preserve">11:45 - 13:15</t>
  </si>
  <si>
    <t xml:space="preserve">Barzen, Frank, Herr (LBA) - 4.000 SWS</t>
  </si>
  <si>
    <t xml:space="preserve">021-3102 (B)</t>
  </si>
  <si>
    <t xml:space="preserve">Gadatsch, Niklas, Herr Prof. Dr. (Prof) - 4.000 SWS</t>
  </si>
  <si>
    <t xml:space="preserve">021-3102 (C)</t>
  </si>
  <si>
    <t xml:space="preserve">021-3102/PAN</t>
  </si>
  <si>
    <t xml:space="preserve">Mathematik (PAN)</t>
  </si>
  <si>
    <t xml:space="preserve">d0.01, d0.03</t>
  </si>
  <si>
    <t xml:space="preserve">Stielow, Christian, Herr (LKfbA) - 4.000 SWS</t>
  </si>
  <si>
    <t xml:space="preserve">021/D43-3103 (A )</t>
  </si>
  <si>
    <t xml:space="preserve">Grundzüge des Rechnungswesens</t>
  </si>
  <si>
    <t xml:space="preserve">2103, 1102</t>
  </si>
  <si>
    <t xml:space="preserve">1-Mi</t>
  </si>
  <si>
    <t xml:space="preserve">Kemmeter, Sascha, Herr Prof. Dr. (Prof) - 2.000 SWS;Heier, Sarah, Frau (Ass) - 2.000 SWS</t>
  </si>
  <si>
    <t xml:space="preserve">021-3103 (B)</t>
  </si>
  <si>
    <t xml:space="preserve">Heier, Sarah, Frau (Ass) - 2.000 SWS;Kemmeter, Sascha, Herr Prof. Dr. (Prof) - 2.000 SWS</t>
  </si>
  <si>
    <t xml:space="preserve">021-3103 (C)</t>
  </si>
  <si>
    <t xml:space="preserve">Kemmeter, Sascha, Herr Prof. Dr. (Prof) - 2.000 SWS;Born, Julia, Frau (LBA) - 2.000 SWS</t>
  </si>
  <si>
    <t xml:space="preserve">021-3103/PAN</t>
  </si>
  <si>
    <t xml:space="preserve">Grundzüge des Rechnungswesens (PAN)</t>
  </si>
  <si>
    <t xml:space="preserve">c3.04, c3.08</t>
  </si>
  <si>
    <t xml:space="preserve">Kemmeter, Sascha, Herr Prof. Dr. (Prof) - 2.000 SWS;Scherrer, Antje, Frau (Ass) - 2.000 SWS</t>
  </si>
  <si>
    <t xml:space="preserve">021/D43-3104 (A )</t>
  </si>
  <si>
    <t xml:space="preserve">Recht I: Grundlagen des Vertragsrechts</t>
  </si>
  <si>
    <t xml:space="preserve">1-Fr</t>
  </si>
  <si>
    <t xml:space="preserve">Therre, Silas, Herr (LBA) - 4.000 SWS</t>
  </si>
  <si>
    <t xml:space="preserve">021-3104 (B)</t>
  </si>
  <si>
    <t xml:space="preserve">Reitz, Markus, Herr Prof. Dr. (Prof) - 0.500 SWS;Talmon, Alexander, Herr (LBA) - 3.500 SWS</t>
  </si>
  <si>
    <t xml:space="preserve">021-3104 (C)</t>
  </si>
  <si>
    <t xml:space="preserve">c3.04, c3.06</t>
  </si>
  <si>
    <t xml:space="preserve">Reitz, Markus, Herr Prof. Dr. (Prof) - 4.000 SWS</t>
  </si>
  <si>
    <t xml:space="preserve">021-3104/PAN</t>
  </si>
  <si>
    <t xml:space="preserve">Recht I: Grundlagen des Vertragsrechts (PAN)</t>
  </si>
  <si>
    <t xml:space="preserve">d0.01</t>
  </si>
  <si>
    <t xml:space="preserve">021/D43-3155 (A)</t>
  </si>
  <si>
    <t xml:space="preserve">Business English</t>
  </si>
  <si>
    <t xml:space="preserve">2105, 2205</t>
  </si>
  <si>
    <t xml:space="preserve">2-Mi</t>
  </si>
  <si>
    <t xml:space="preserve">Aula, a3.10, a3.08</t>
  </si>
  <si>
    <t xml:space="preserve">Thompson, Liam, Herr (LKfbA) - 4.000 SWS</t>
  </si>
  <si>
    <t xml:space="preserve">021-3155 (B)</t>
  </si>
  <si>
    <t xml:space="preserve">s.o.</t>
  </si>
  <si>
    <t xml:space="preserve">N.N.</t>
  </si>
  <si>
    <t xml:space="preserve">021-3155 (C )</t>
  </si>
  <si>
    <t xml:space="preserve">Ritterhoff, Teresa, Frau Dr. (LKfbA) - 4.000 SWS</t>
  </si>
  <si>
    <t xml:space="preserve">021-3155 (D)</t>
  </si>
  <si>
    <t xml:space="preserve">Schlemmer-Bockius, Dagmar, Frau (LKfbA) - 4.000 SWS</t>
  </si>
  <si>
    <t xml:space="preserve">021-3155 (E)</t>
  </si>
  <si>
    <t xml:space="preserve">NNNN, NNNN, Frau (LBA) - SWS</t>
  </si>
  <si>
    <t xml:space="preserve">021/D43-3106 (A)</t>
  </si>
  <si>
    <t xml:space="preserve">Methodik, Systematik &amp; Präsentation</t>
  </si>
  <si>
    <t xml:space="preserve">keine Klausur (Prüfung ist mit dem Lehrenden abzustimmen)</t>
  </si>
  <si>
    <t xml:space="preserve">kein Klausur</t>
  </si>
  <si>
    <t xml:space="preserve">Flick, Caroline, Frau Prof. Dr. (Prof) - 4.000 SWS</t>
  </si>
  <si>
    <t xml:space="preserve">021-3106 (B)</t>
  </si>
  <si>
    <t xml:space="preserve">Hensel, Claudia, Frau Prof. Dr. (Prof) - 4.000 SWS</t>
  </si>
  <si>
    <t xml:space="preserve">021-3106 (C)</t>
  </si>
  <si>
    <t xml:space="preserve">021/D43-3201 (A)</t>
  </si>
  <si>
    <t xml:space="preserve">Statistik</t>
  </si>
  <si>
    <t xml:space="preserve">2201, 1204</t>
  </si>
  <si>
    <t xml:space="preserve">2-Do</t>
  </si>
  <si>
    <t xml:space="preserve">a3.10, a3.04</t>
  </si>
  <si>
    <t xml:space="preserve">Spengler, Hannes, Herr Prof. Dr. (Prof) - 4.000 SWS</t>
  </si>
  <si>
    <t xml:space="preserve">021-3201 (B)</t>
  </si>
  <si>
    <t xml:space="preserve">a3.06</t>
  </si>
  <si>
    <t xml:space="preserve">021-3201 (C)</t>
  </si>
  <si>
    <t xml:space="preserve">a3.04</t>
  </si>
  <si>
    <t xml:space="preserve">021-3201/PAN</t>
  </si>
  <si>
    <t xml:space="preserve">Statistik (PAN)</t>
  </si>
  <si>
    <t xml:space="preserve">50%, 10%</t>
  </si>
  <si>
    <t xml:space="preserve">Aula, d0.01</t>
  </si>
  <si>
    <t xml:space="preserve">Porath, Daniel, Herr Prof. Dr. (Prof) - 4.000 SWS</t>
  </si>
  <si>
    <t xml:space="preserve">021/D43-3202 (A)</t>
  </si>
  <si>
    <t xml:space="preserve">Kosten- und Leistungsrechnung</t>
  </si>
  <si>
    <t xml:space="preserve">2202, 1202</t>
  </si>
  <si>
    <t xml:space="preserve">1-Do</t>
  </si>
  <si>
    <t xml:space="preserve">Rathje, Britta, Frau Prof. Dr. (Prof) - 4.000 SWS</t>
  </si>
  <si>
    <t xml:space="preserve">021-3202 (B)</t>
  </si>
  <si>
    <t xml:space="preserve">Lennartz, Wolfgang, Herr Prof. Dr. (Prof) - 4.000 SWS</t>
  </si>
  <si>
    <t xml:space="preserve">021-3202 (C)</t>
  </si>
  <si>
    <t xml:space="preserve">Landwehr-Zloch, Sabine, Frau Prof. Dr. (Prof) - 4.000 SWS</t>
  </si>
  <si>
    <t xml:space="preserve">021-3202/PAN</t>
  </si>
  <si>
    <t xml:space="preserve">Kosten- und Leistungsrechnung (PAN)</t>
  </si>
  <si>
    <t xml:space="preserve">021/D43-3203 (A)</t>
  </si>
  <si>
    <t xml:space="preserve">Recht II: Verträge &amp; Unternehmensrecht</t>
  </si>
  <si>
    <t xml:space="preserve">2-Di</t>
  </si>
  <si>
    <t xml:space="preserve">09:30 - 11:00</t>
  </si>
  <si>
    <t xml:space="preserve">Will, Stefanie, Frau Dr. (LBA) - 4.000 SWS</t>
  </si>
  <si>
    <t xml:space="preserve">021-3203 (B)</t>
  </si>
  <si>
    <t xml:space="preserve">Grim, Rainer, Herr (LBA) - 4.000 SWS</t>
  </si>
  <si>
    <t xml:space="preserve">021-3203 (C)</t>
  </si>
  <si>
    <t xml:space="preserve">Dippel, Jan-Eric, Herr (LBA) - 4.000 SWS</t>
  </si>
  <si>
    <t xml:space="preserve">021-3203/PAN</t>
  </si>
  <si>
    <t xml:space="preserve">Recht II: Verträge &amp; Unternehmensrecht (PAN)</t>
  </si>
  <si>
    <t xml:space="preserve">021/D43-3206 (A)</t>
  </si>
  <si>
    <t xml:space="preserve">Personalmanagement &amp; Organisation</t>
  </si>
  <si>
    <t xml:space="preserve">2206, 1401</t>
  </si>
  <si>
    <t xml:space="preserve">1-Di</t>
  </si>
  <si>
    <t xml:space="preserve">Schmitt, Uwe, Herr (LBA) - 3.000 SWS;Kaufmann, Michael, Herr Prof. Dr. (Prof) - 1.000 SWS</t>
  </si>
  <si>
    <t xml:space="preserve">021-3206 (B)</t>
  </si>
  <si>
    <t xml:space="preserve">Koeder, Kurt, Herr Prof. Dr. (Prof) - 4.000 SWS</t>
  </si>
  <si>
    <t xml:space="preserve">021-3206 (C)</t>
  </si>
  <si>
    <t xml:space="preserve">Strobel, Maria, Frau Prof. Dr. (Prof) - 4.000 SWS</t>
  </si>
  <si>
    <t xml:space="preserve">021/D43-3254 (A)</t>
  </si>
  <si>
    <t xml:space="preserve">Project Management</t>
  </si>
  <si>
    <t xml:space="preserve">Schmidt, Michael, Herr (LBA) - 2.000 SWS</t>
  </si>
  <si>
    <t xml:space="preserve">021-3254 (B)</t>
  </si>
  <si>
    <t xml:space="preserve">Kummer, Andreas, Herr (LBA) - 2.000 SWS</t>
  </si>
  <si>
    <t xml:space="preserve">021-3254 (C)</t>
  </si>
  <si>
    <t xml:space="preserve">Koenig, Justus, Herr (LBA) - 2.000 SWS</t>
  </si>
  <si>
    <t xml:space="preserve">021/D43-3301 (A)</t>
  </si>
  <si>
    <t xml:space="preserve">Mikroökonomie</t>
  </si>
  <si>
    <t xml:space="preserve">Freudenberger, Axel, Herr Prof. Dr. (Prof) - 4.000 SWS</t>
  </si>
  <si>
    <t xml:space="preserve">021-3301 (B)</t>
  </si>
  <si>
    <t xml:space="preserve">Heilig, Markus, Herr (LBA) - 4.000 SWS</t>
  </si>
  <si>
    <t xml:space="preserve">021-3301 (C)</t>
  </si>
  <si>
    <t xml:space="preserve">Rohde, Linnea, Frau Dr. (LBA) - 4.000 SWS</t>
  </si>
  <si>
    <t xml:space="preserve">021-3301/PAN</t>
  </si>
  <si>
    <t xml:space="preserve">Mikroökonomie (PAN)</t>
  </si>
  <si>
    <t xml:space="preserve">Aula, a3.04</t>
  </si>
  <si>
    <t xml:space="preserve">Bartels, Bernhard, Herr Prof. Dr. (Prof) - 4.000 SWS</t>
  </si>
  <si>
    <t xml:space="preserve">021/D43-3302 (A)</t>
  </si>
  <si>
    <t xml:space="preserve">Investition &amp; Finanzierung</t>
  </si>
  <si>
    <t xml:space="preserve">Schäfer, Christian, Herr Prof. Dr. (Prof) - 4.000 SWS</t>
  </si>
  <si>
    <t xml:space="preserve">021-3302 (B)</t>
  </si>
  <si>
    <t xml:space="preserve">Drozd, Nataliia, Frau (LBA) - 4.000 SWS</t>
  </si>
  <si>
    <t xml:space="preserve">021-3302 (C)</t>
  </si>
  <si>
    <t xml:space="preserve">Hehn, Markus, Herr Prof. Dr. (Prof) - 4.000 SWS</t>
  </si>
  <si>
    <t xml:space="preserve">021/D43-3303 (A)</t>
  </si>
  <si>
    <t xml:space="preserve">Materialwirtschaft, Logistik &amp; Produktion</t>
  </si>
  <si>
    <t xml:space="preserve">13:45 - 15:15</t>
  </si>
  <si>
    <t xml:space="preserve">Bals, Lydia, Frau Prof. Dr. (Prof) - 4.000 SWS</t>
  </si>
  <si>
    <t xml:space="preserve">021-3303 (B)</t>
  </si>
  <si>
    <t xml:space="preserve">Müller, Sebastian, Herr Prof. Dr. (Prof) - 3.000 SWS;Bals, Lydia, Frau Prof. Dr. (Prof) - 1.000 SWS</t>
  </si>
  <si>
    <t xml:space="preserve">021-3303 (C)</t>
  </si>
  <si>
    <t xml:space="preserve">021/D43-3305 (A)</t>
  </si>
  <si>
    <t xml:space="preserve">Unternehmen &amp; IT (mündliche Prüfung)</t>
  </si>
  <si>
    <t xml:space="preserve">08:00- 18:00</t>
  </si>
  <si>
    <t xml:space="preserve">d0.03</t>
  </si>
  <si>
    <t xml:space="preserve">Kowalczyk, Martin, Herr Prof. Dr. (Prof) - 3.000 SWS;Ambach, Marie, Frau (Ass) - 1.000 SWS</t>
  </si>
  <si>
    <t xml:space="preserve">021-3305 (B)</t>
  </si>
  <si>
    <t xml:space="preserve">Kemmann, Oliver, Herr Dr. (Prof) - 3.000 SWS;Ambach, Marie, Frau (Ass) - 1.000 SWS</t>
  </si>
  <si>
    <t xml:space="preserve">021-3305 (C)</t>
  </si>
  <si>
    <t xml:space="preserve">c3.08</t>
  </si>
  <si>
    <t xml:space="preserve">Ambach, Marie, Frau (Ass) - 1.000 SWS;Nirmaier, Timo, Herr (LBA) - 3.000 SWS</t>
  </si>
  <si>
    <t xml:space="preserve">021/D43-3354 (A)</t>
  </si>
  <si>
    <t xml:space="preserve">Marketing </t>
  </si>
  <si>
    <t xml:space="preserve">2354,1351, 1301</t>
  </si>
  <si>
    <t xml:space="preserve">c3.10, a3.10, a3.08</t>
  </si>
  <si>
    <t xml:space="preserve">Hillebrandt, Isabelle, Frau Prof. Dr. (Prof) - 4.000 SWS</t>
  </si>
  <si>
    <t xml:space="preserve">021-3354 (B)</t>
  </si>
  <si>
    <t xml:space="preserve">Marketing</t>
  </si>
  <si>
    <t xml:space="preserve">c-1.11, c-1.13</t>
  </si>
  <si>
    <t xml:space="preserve">Taheri, Jenny S., Frau (LBA) - 2.000 SWS;Weretecki, Patrick, Herr Dr. (LBA) - 2.000 SWS</t>
  </si>
  <si>
    <t xml:space="preserve">021-3354 (C)</t>
  </si>
  <si>
    <t xml:space="preserve">021/D43-3380 (A)</t>
  </si>
  <si>
    <t xml:space="preserve">Statistisches Forschungsprojekt</t>
  </si>
  <si>
    <t xml:space="preserve">kein Klausur (final 16.01.2026)</t>
  </si>
  <si>
    <t xml:space="preserve">Schlütter, Sebastian, Herr Prof. Dr. (Prof) - 4.000 SWS</t>
  </si>
  <si>
    <t xml:space="preserve">021-3380 (B)</t>
  </si>
  <si>
    <t xml:space="preserve">kein Klausur (final 14.01.2026)</t>
  </si>
  <si>
    <t xml:space="preserve">021-3380 (C</t>
  </si>
  <si>
    <t xml:space="preserve">Faik, Jürgen, Herr Dr. (LKfbA) - 4.000 SWS</t>
  </si>
  <si>
    <t xml:space="preserve">021/D43-3401 (I)</t>
  </si>
  <si>
    <t xml:space="preserve">Makroökonomie</t>
  </si>
  <si>
    <t xml:space="preserve">Kulessa, Margareta, Frau Prof. Dr. (Prof) - 4.000 SWS</t>
  </si>
  <si>
    <t xml:space="preserve">021/D43-3401 (II)</t>
  </si>
  <si>
    <t xml:space="preserve">021/D43-3401 (III)</t>
  </si>
  <si>
    <t xml:space="preserve">021/D43-3402 (I)</t>
  </si>
  <si>
    <t xml:space="preserve">Jahresabschluss</t>
  </si>
  <si>
    <t xml:space="preserve">16:00 - 17:30</t>
  </si>
  <si>
    <t xml:space="preserve">021/D43-3402 (II)</t>
  </si>
  <si>
    <t xml:space="preserve">Peppmeier, Arno, Herr Prof. Dr. (Prof) - 4.000 SWS</t>
  </si>
  <si>
    <t xml:space="preserve">021/D43-3402 (III)</t>
  </si>
  <si>
    <t xml:space="preserve">Aua, A0.12</t>
  </si>
  <si>
    <t xml:space="preserve">Dittmar, Peter, Herr Prof. Dr. (Prof) - 4.000 SWS</t>
  </si>
  <si>
    <t xml:space="preserve">021/D43-3404 (I)</t>
  </si>
  <si>
    <t xml:space="preserve">Steuern</t>
  </si>
  <si>
    <t xml:space="preserve">Aula, a3.06, A0.12</t>
  </si>
  <si>
    <t xml:space="preserve">Kämmerer, Bardo, Herr Prof. Dr. (Prof) - 4.000 SWS</t>
  </si>
  <si>
    <t xml:space="preserve">021/D43-3404 (II)</t>
  </si>
  <si>
    <t xml:space="preserve">021/D43-3404 (III)</t>
  </si>
  <si>
    <t xml:space="preserve">021/D43-3405 (I)</t>
  </si>
  <si>
    <t xml:space="preserve">Digitale Wirtschaft (TL 40% und 60% Assignment mit Präsentation)</t>
  </si>
  <si>
    <t xml:space="preserve">13:45 -14:45</t>
  </si>
  <si>
    <t xml:space="preserve">Huschens, Martin, Herr Prof. Dr. (Prof) - 4.000 SWS</t>
  </si>
  <si>
    <t xml:space="preserve">021/D43-3405 (II)</t>
  </si>
  <si>
    <t xml:space="preserve">Kemmann, Oliver, Herr Dr. (Prof) - 4.000 SWS</t>
  </si>
  <si>
    <t xml:space="preserve">021/D43-3405 (III)</t>
  </si>
  <si>
    <t xml:space="preserve">15:00 - 16:00</t>
  </si>
  <si>
    <t xml:space="preserve">Walter, Tobias, Herr Prof. Dr. (Prof) - 4.000 SWS</t>
  </si>
  <si>
    <t xml:space="preserve">021/D43-3453 (I)</t>
  </si>
  <si>
    <t xml:space="preserve">Strategic Management</t>
  </si>
  <si>
    <t xml:space="preserve">Hattemer, Robert, Herr (LBA) - 4.000 SWS</t>
  </si>
  <si>
    <t xml:space="preserve">021/D43-3453 (II)</t>
  </si>
  <si>
    <t xml:space="preserve">Aula, d0.03</t>
  </si>
  <si>
    <t xml:space="preserve">021/D43-3453 (III)</t>
  </si>
  <si>
    <t xml:space="preserve">Schrank, Randolf, Herr Prof. Dr. (Prof) - 4.000 SWS</t>
  </si>
  <si>
    <t xml:space="preserve">021/D43-2551 (I)</t>
  </si>
  <si>
    <t xml:space="preserve">International Management</t>
  </si>
  <si>
    <t xml:space="preserve">Aula, A0.12</t>
  </si>
  <si>
    <t xml:space="preserve">Timmer, Stéphane, Herr Prof. Dr. (LBA) - 4.000 SWS</t>
  </si>
  <si>
    <t xml:space="preserve">021/D43-2551 (II)</t>
  </si>
  <si>
    <t xml:space="preserve">021/D43-2551 (III)</t>
  </si>
  <si>
    <t xml:space="preserve">Hattemer, Robert, Herr (LBA) - 2.000 SWS;Schrank, Randolf, Herr Prof. Dr. (Prof) - 2.000 SWS</t>
  </si>
  <si>
    <t xml:space="preserve">021/D43-2601 (I)</t>
  </si>
  <si>
    <t xml:space="preserve">Business Planning</t>
  </si>
  <si>
    <t xml:space="preserve">Flothow, Gerhart, Herr Dr. (LBA) - 3.000 SWS</t>
  </si>
  <si>
    <t xml:space="preserve">021/D43-2601 (II)</t>
  </si>
  <si>
    <t xml:space="preserve">Reiß, Michael, Herr (LBA) - 3.000 SWS</t>
  </si>
  <si>
    <t xml:space="preserve">021/D43-2651 (III)</t>
  </si>
  <si>
    <t xml:space="preserve">Wagner-Thind, Alexandra, Frau (LBA) - 2.500 SWS;Eckes, Tim, Herr (LBA) - 0.500 SWS</t>
  </si>
  <si>
    <t xml:space="preserve">042B-101 (A)</t>
  </si>
  <si>
    <t xml:space="preserve">WPR I - BGB AT</t>
  </si>
  <si>
    <t xml:space="preserve">932-2101</t>
  </si>
  <si>
    <t xml:space="preserve">0-Mi</t>
  </si>
  <si>
    <t xml:space="preserve">18:15 - 20:15</t>
  </si>
  <si>
    <t xml:space="preserve">Dereli, Melanie, Frau (LBA) - 4.000 SWS</t>
  </si>
  <si>
    <t xml:space="preserve">042B-101 (B)</t>
  </si>
  <si>
    <t xml:space="preserve">Dereli, Melanie, Frau (LBA) - 3.000 SWS;Burkard, Johannes, Herr Prof. Dr. (Prof) - 1.000 SWS</t>
  </si>
  <si>
    <t xml:space="preserve">042B-102 (A)</t>
  </si>
  <si>
    <t xml:space="preserve">WPR II - Schuldrecht AT</t>
  </si>
  <si>
    <t xml:space="preserve">932-2102</t>
  </si>
  <si>
    <t xml:space="preserve">09:30 - 11:30</t>
  </si>
  <si>
    <t xml:space="preserve">Merschmöller, Lucas, Herr (LBA) - 4.000 SWS</t>
  </si>
  <si>
    <t xml:space="preserve">042B-102 (B)</t>
  </si>
  <si>
    <t xml:space="preserve">Burkard, Johannes, Herr Prof. Dr. (Prof) - 4.000 SWS</t>
  </si>
  <si>
    <t xml:space="preserve">042B-103 (A)</t>
  </si>
  <si>
    <t xml:space="preserve">Öffentliches Wirtschaftsrecht &amp; Europarecht</t>
  </si>
  <si>
    <t xml:space="preserve">932-2104+932-2204</t>
  </si>
  <si>
    <t xml:space="preserve">Weber, Martin, Herr Prof. Dr. (Prof) - 6.000 SWS</t>
  </si>
  <si>
    <t xml:space="preserve">042B-103 (B)</t>
  </si>
  <si>
    <t xml:space="preserve">042B-104-P1 (A)</t>
  </si>
  <si>
    <t xml:space="preserve">Rechtswissenschaftliches Arbeiten &amp; Propädeutikum (Klausur)</t>
  </si>
  <si>
    <t xml:space="preserve">932-2103, 932-2113</t>
  </si>
  <si>
    <t xml:space="preserve">0-Di</t>
  </si>
  <si>
    <t xml:space="preserve">12:00 - 13:00</t>
  </si>
  <si>
    <t xml:space="preserve">Walser, Manfred, Herr Prof. Dr. (Prof) - 3.000 SWS;Colpa, Aida, Frau (Ass) - 1.000 SWS</t>
  </si>
  <si>
    <t xml:space="preserve">042B-104-P2 (A)</t>
  </si>
  <si>
    <t xml:space="preserve">Rechtswissenschaftliches Arbeiten &amp; Propädeutikum (Hausarbeit)</t>
  </si>
  <si>
    <t xml:space="preserve">932-2103, 932-2114</t>
  </si>
  <si>
    <t xml:space="preserve">keine Klausur (final 10.12.2025)</t>
  </si>
  <si>
    <t xml:space="preserve">keine Klausur</t>
  </si>
  <si>
    <t xml:space="preserve">042B-104-P1 (B)</t>
  </si>
  <si>
    <t xml:space="preserve">Yilmaz, Rabia, Frau (LBA) - 1.000 SWS;Walser, Manfred, Herr Prof. Dr. (Prof) - 3.000 SWS</t>
  </si>
  <si>
    <t xml:space="preserve">042B-104-P2 (B)</t>
  </si>
  <si>
    <t xml:space="preserve">Yilmaz, Rabia Frau (LBA) - 1.000 SWS;Walser, Manfred, Herr Prof. Dr. (Prof) - 3.000 SWS</t>
  </si>
  <si>
    <t xml:space="preserve">932-2104/PAN</t>
  </si>
  <si>
    <t xml:space="preserve">Öffentliches Wirtschaftsrecht &amp; Wirtschaftsstrafrecht AT (PAN)</t>
  </si>
  <si>
    <t xml:space="preserve">042B-103</t>
  </si>
  <si>
    <t xml:space="preserve">13:45 - 15:45</t>
  </si>
  <si>
    <t xml:space="preserve">Weber, Martin, Herr Prof. Dr. (Prof); Hamed, Jessica, Frau Dr. (LBA) - 2.000 SWS</t>
  </si>
  <si>
    <t xml:space="preserve">932-2105/PAN</t>
  </si>
  <si>
    <t xml:space="preserve">Grundlagen BWL (PAN)</t>
  </si>
  <si>
    <t xml:space="preserve">c3.10</t>
  </si>
  <si>
    <t xml:space="preserve">Carl, Petra, Frau (LBA) - 4.000 SWS</t>
  </si>
  <si>
    <t xml:space="preserve">042B-105 (A)</t>
  </si>
  <si>
    <t xml:space="preserve">Finance &amp; Controlling</t>
  </si>
  <si>
    <t xml:space="preserve">932-2111</t>
  </si>
  <si>
    <t xml:space="preserve">Landwehr-Zloch, Sabine, Frau Prof. Dr. (Prof) - 3.000 SWS;Hehn, Markus, Herr Prof. Dr. (Prof) - 3.000 SWS</t>
  </si>
  <si>
    <t xml:space="preserve">042B-105 (B)</t>
  </si>
  <si>
    <t xml:space="preserve">Buchführung (PAN)</t>
  </si>
  <si>
    <t xml:space="preserve">Löwenstein, Julia (Frau)</t>
  </si>
  <si>
    <t xml:space="preserve">932-2112 </t>
  </si>
  <si>
    <t xml:space="preserve">042B-106</t>
  </si>
  <si>
    <t xml:space="preserve">b1.01/b1.03</t>
  </si>
  <si>
    <t xml:space="preserve">Schlemmer-Bockius, Dagmar - 4 SWS</t>
  </si>
  <si>
    <t xml:space="preserve">042B-106-P1E (A)</t>
  </si>
  <si>
    <t xml:space="preserve">Business &amp; Legal English (Klausur)</t>
  </si>
  <si>
    <t xml:space="preserve">042B-106-P2E (A)</t>
  </si>
  <si>
    <t xml:space="preserve">Business &amp; Legal English (Assignments)</t>
  </si>
  <si>
    <t xml:space="preserve">keine Klausur (final 13.01.2026)</t>
  </si>
  <si>
    <t xml:space="preserve">042B-106-P1E (B)</t>
  </si>
  <si>
    <t xml:space="preserve">042B-106-P2E (B)</t>
  </si>
  <si>
    <t xml:space="preserve">042B-106-P1E (C)</t>
  </si>
  <si>
    <t xml:space="preserve">Watson, Heather, Frau - 4.000 SWS</t>
  </si>
  <si>
    <t xml:space="preserve">042B-106-P2E (C)</t>
  </si>
  <si>
    <t xml:space="preserve">932-2201</t>
  </si>
  <si>
    <t xml:space="preserve">WPR III - Vertragliche Schuldverhältnisse</t>
  </si>
  <si>
    <t xml:space="preserve">042B-201-P</t>
  </si>
  <si>
    <t xml:space="preserve">13:00 - 15:00</t>
  </si>
  <si>
    <t xml:space="preserve">Baldus, Bianca, Frau Prof. Dr. (Prof) - 4.000 SWS</t>
  </si>
  <si>
    <t xml:space="preserve">932-2201/PAN</t>
  </si>
  <si>
    <t xml:space="preserve">WPR III - Vertragliche Schuldverhältnisse (PAN)</t>
  </si>
  <si>
    <t xml:space="preserve">2 Stunden, 10%</t>
  </si>
  <si>
    <t xml:space="preserve">932-2202</t>
  </si>
  <si>
    <t xml:space="preserve">WPR IV - Gesetzliche Schuldverhältnisse</t>
  </si>
  <si>
    <t xml:space="preserve">042B-301-P</t>
  </si>
  <si>
    <t xml:space="preserve">Antomo, Jennifer, Frau Prof. Dr. (Prof) - 4.000 SWS</t>
  </si>
  <si>
    <t xml:space="preserve">932-2202/PAN</t>
  </si>
  <si>
    <t xml:space="preserve">WPR IV - Gesetzliche Schuldverhältnisse (PAN)</t>
  </si>
  <si>
    <t xml:space="preserve">Mouaouya, Hassan , Herr (LB) - 4.000 SWS</t>
  </si>
  <si>
    <t xml:space="preserve">932-2203</t>
  </si>
  <si>
    <t xml:space="preserve">Handels- und Personengesellschaftsrecht</t>
  </si>
  <si>
    <t xml:space="preserve">042B-202-P</t>
  </si>
  <si>
    <t xml:space="preserve">2 Stunden</t>
  </si>
  <si>
    <t xml:space="preserve">2-Fr</t>
  </si>
  <si>
    <t xml:space="preserve">Reich, Anke, Frau Prof. Dr. (Prof) - 4.000 SWS</t>
  </si>
  <si>
    <t xml:space="preserve">932-2204</t>
  </si>
  <si>
    <t xml:space="preserve">Europarecht</t>
  </si>
  <si>
    <t xml:space="preserve">042B-103-P</t>
  </si>
  <si>
    <t xml:space="preserve">Weber, Martin, Herr Prof. Dr. (Prof) - 3.250 SWS;Merschmöller, Lucas, Herr (LBA) - 0.750 SWS</t>
  </si>
  <si>
    <t xml:space="preserve">932-2211</t>
  </si>
  <si>
    <t xml:space="preserve">042B-105-P</t>
  </si>
  <si>
    <t xml:space="preserve">Lennartz, Wolfgang, Herr Prof. Dr. (Prof) - 3.000 SWS</t>
  </si>
  <si>
    <t xml:space="preserve">932-2212 (A)</t>
  </si>
  <si>
    <t xml:space="preserve">Legal English</t>
  </si>
  <si>
    <t xml:space="preserve">042B-106-P1E , 042B-106-P2E</t>
  </si>
  <si>
    <t xml:space="preserve">Ritterhoff, Teresa, Frau Dr. (LKfbA) - 2.000 SWS</t>
  </si>
  <si>
    <t xml:space="preserve">932-2212 (B)</t>
  </si>
  <si>
    <t xml:space="preserve">a3.10</t>
  </si>
  <si>
    <t xml:space="preserve">Thompson, Liam, Herr (LKfbA) - 2.000 SWS</t>
  </si>
  <si>
    <t xml:space="preserve">932-2213</t>
  </si>
  <si>
    <t xml:space="preserve">Personal &amp; Organisation</t>
  </si>
  <si>
    <t xml:space="preserve">042B-204</t>
  </si>
  <si>
    <t xml:space="preserve">c-1.11, c-1.13, b1.05/b1.07</t>
  </si>
  <si>
    <t xml:space="preserve">Zwiener, Jacqueline, Frau (Ass) - 2.500 SWS</t>
  </si>
  <si>
    <t xml:space="preserve">932-2214</t>
  </si>
  <si>
    <t xml:space="preserve">c3.04, c3.08, A0.12</t>
  </si>
  <si>
    <t xml:space="preserve">Drozd, Nataliia, Frau (LBA) - 2.500 SWS</t>
  </si>
  <si>
    <t xml:space="preserve">932-2301 (A)</t>
  </si>
  <si>
    <t xml:space="preserve">WPR V - Sachenrecht- &amp; Kreditsicherungsrecht</t>
  </si>
  <si>
    <t xml:space="preserve">1301, 042B-401-P</t>
  </si>
  <si>
    <t xml:space="preserve">16:00 - 18:00</t>
  </si>
  <si>
    <t xml:space="preserve">Kober, Wolfgang, Herr Prof. Dr. (LBA) - 4.000 SWS</t>
  </si>
  <si>
    <t xml:space="preserve">932-2301 (B)</t>
  </si>
  <si>
    <t xml:space="preserve">Friedrich, Matthias, Herr Dr. (LBA) - 4.000 SWS</t>
  </si>
  <si>
    <t xml:space="preserve">932-2302 (A)</t>
  </si>
  <si>
    <t xml:space="preserve">Steuerrecht I - Einkommensteuer</t>
  </si>
  <si>
    <t xml:space="preserve">042B-305-P</t>
  </si>
  <si>
    <t xml:space="preserve">C3.10, A0.12</t>
  </si>
  <si>
    <t xml:space="preserve">Schüller, Niklas, Herr (LBA) - 3.000 SWS;Molitor, Tom Robin, Herr (LBA) - 1.000 SWS</t>
  </si>
  <si>
    <t xml:space="preserve">932-2302 (B)</t>
  </si>
  <si>
    <t xml:space="preserve">c3.08, c3.06</t>
  </si>
  <si>
    <t xml:space="preserve">932-2303 (A)</t>
  </si>
  <si>
    <t xml:space="preserve">Kapitalgesellschaftsrecht</t>
  </si>
  <si>
    <t xml:space="preserve">042B-302-P</t>
  </si>
  <si>
    <t xml:space="preserve">1-Sa</t>
  </si>
  <si>
    <t xml:space="preserve">C3.10</t>
  </si>
  <si>
    <t xml:space="preserve">Haas, Ingeborg, Frau Prof. Dr. (Prof) - 4.000 SWS</t>
  </si>
  <si>
    <t xml:space="preserve">932-2303 (B)</t>
  </si>
  <si>
    <t xml:space="preserve">C3.08 A0.12</t>
  </si>
  <si>
    <t xml:space="preserve">932-2304 (A)</t>
  </si>
  <si>
    <t xml:space="preserve">Vertragsgestaltung &amp; Vertragsverhandlung</t>
  </si>
  <si>
    <t xml:space="preserve">042B-606-P</t>
  </si>
  <si>
    <t xml:space="preserve">keine Klausur (final 08.01.2026)</t>
  </si>
  <si>
    <t xml:space="preserve">Klepsch, Jörg, Herr Prof. Dr. (Prof) - 4.000 SWS</t>
  </si>
  <si>
    <t xml:space="preserve">932-2304 (B)</t>
  </si>
  <si>
    <t xml:space="preserve">932-2306 (A)</t>
  </si>
  <si>
    <t xml:space="preserve">Schneider, Vincent, Herr (LBA) - 4.000 SWS</t>
  </si>
  <si>
    <t xml:space="preserve">932-2306 (B)</t>
  </si>
  <si>
    <t xml:space="preserve">c3.04, c3.06, c3.08</t>
  </si>
  <si>
    <t xml:space="preserve">932-2355 (A)</t>
  </si>
  <si>
    <t xml:space="preserve">International Business Law</t>
  </si>
  <si>
    <t xml:space="preserve">1401, 042B-705-PE</t>
  </si>
  <si>
    <t xml:space="preserve">Mertgen, Bettina, Frau (LBA) - 1.500 SWS;Antomo, Jennifer, Frau Prof. Dr. (Prof) - 2.000 SWS;Mergler, Jan-Michael, Herr (LBA) - 0.500 SWS</t>
  </si>
  <si>
    <t xml:space="preserve">932-2355 (B)</t>
  </si>
  <si>
    <t xml:space="preserve">Antomo, Jennifer, Frau Prof. Dr. (Prof) - 2.000 SWS;Mergler, Jan-Michael, Herr (LBA) - 0.500 SWS;Mertgen, Bettina, Frau (LBA) - 1.500 SWS</t>
  </si>
  <si>
    <t xml:space="preserve">932-2401</t>
  </si>
  <si>
    <t xml:space="preserve">Arbeitsrecht</t>
  </si>
  <si>
    <t xml:space="preserve">1404, 042B-304-P</t>
  </si>
  <si>
    <t xml:space="preserve">A3.10, A0.12</t>
  </si>
  <si>
    <t xml:space="preserve">Walser, Manfred, Herr Prof. Dr. (Prof) - 6.000 SWS</t>
  </si>
  <si>
    <t xml:space="preserve">932-2402</t>
  </si>
  <si>
    <t xml:space="preserve">Steuerrecht II - USt &amp; Unternehmenssteuern</t>
  </si>
  <si>
    <t xml:space="preserve">1403, 042B-305-P</t>
  </si>
  <si>
    <t xml:space="preserve">2-Sa</t>
  </si>
  <si>
    <t xml:space="preserve">a3.06, a3.08, A0.12</t>
  </si>
  <si>
    <t xml:space="preserve">Nünke, Nils, Herr (LBA) - 4.000 SWS</t>
  </si>
  <si>
    <t xml:space="preserve">932-2403</t>
  </si>
  <si>
    <t xml:space="preserve">Bank-, Kapitalmarkt-, Konzern- &amp; Umwandungsrecht</t>
  </si>
  <si>
    <t xml:space="preserve">042B-402-P1, 042B-402-P2</t>
  </si>
  <si>
    <t xml:space="preserve">c-1.11,c-1.13</t>
  </si>
  <si>
    <t xml:space="preserve">Tietz, Jan Sebastian, Herr (LBA) - 1.000 SWS;Haas, Ingeborg, Frau Prof. Dr. (Prof) - 1.500 SWS;Baldus, Bianca, Frau Prof. Dr. (Prof) - 1.500 SWS</t>
  </si>
  <si>
    <t xml:space="preserve">932-2404</t>
  </si>
  <si>
    <t xml:space="preserve">Compliance &amp; Wirtschaftsstrafrecht BT</t>
  </si>
  <si>
    <t xml:space="preserve">042B-203-P, 042B-303-P</t>
  </si>
  <si>
    <t xml:space="preserve">Akyüz, Cansu, Frau (LBA) - 0.500 SWS;Mouaouya, Hassan , Herr (LB)  2.250 SWS;Merschmöller, Lucas, Herr (LBA) - 1.250 SWS</t>
  </si>
  <si>
    <t xml:space="preserve">932-2405</t>
  </si>
  <si>
    <t xml:space="preserve">Wettbewerbs-/ Marken- &amp; Kartellrecht</t>
  </si>
  <si>
    <t xml:space="preserve">1402, 042B-403-P</t>
  </si>
  <si>
    <t xml:space="preserve">11:45 – 13:45</t>
  </si>
  <si>
    <t xml:space="preserve">932-2456</t>
  </si>
  <si>
    <t xml:space="preserve">1606; 042B-306-PE</t>
  </si>
  <si>
    <t xml:space="preserve">Rosinus, Anna, Frau Prof. Dr. (Prof) - 4.000 SWS</t>
  </si>
  <si>
    <t xml:space="preserve">932-2511 (A)</t>
  </si>
  <si>
    <t xml:space="preserve">Blockseminar Rewi II - Wirtschaftsprivatrecht</t>
  </si>
  <si>
    <t xml:space="preserve">keine Klausur (05.10.2025)</t>
  </si>
  <si>
    <t xml:space="preserve">Steinmetz, Nina, Frau (LBA) - 2.500 SWS;Alt, Wilfried, Herr Prof. Dr. (LBA) - 0.250 SWS;Colpa, Aida, Frau (Ass) - 0.500 SWS</t>
  </si>
  <si>
    <t xml:space="preserve">932-2511 (B)</t>
  </si>
  <si>
    <t xml:space="preserve">Yilmaz, Rabia, Frau (LBA) - 0.500 SWS;Alt, Wilfried, Herr Prof. Dr. (LBA) - 0.250 SWS;Steinmetz, Nina, Frau (LBA) - 2.500 SWS</t>
  </si>
  <si>
    <t xml:space="preserve">932-2512 (A)</t>
  </si>
  <si>
    <t xml:space="preserve">Blockseminar Rewi II - Handels- und Gesellschaftsrecht</t>
  </si>
  <si>
    <t xml:space="preserve">Colpa, Aida, Frau (Ass) - 1.250 SWS;Steinmetz, Wolfhard, Herr Dr. (LBA) - 1.500 SWS</t>
  </si>
  <si>
    <t xml:space="preserve">932-2512 (B)</t>
  </si>
  <si>
    <t xml:space="preserve">932-2513 (A)</t>
  </si>
  <si>
    <t xml:space="preserve">Blockseminar Rewi II - Arbeitsrecht</t>
  </si>
  <si>
    <t xml:space="preserve">Dereli, Melanie, Frau (LBA) - 1.000 SWS</t>
  </si>
  <si>
    <t xml:space="preserve">932-2513 (B)</t>
  </si>
  <si>
    <t xml:space="preserve">932-2514 (A)</t>
  </si>
  <si>
    <t xml:space="preserve">Blockseminar Rewi II - Compliance und Wirtschaftsstrafrecht</t>
  </si>
  <si>
    <t xml:space="preserve">Nerenberg, Colin, Herr (LKfbA) - 1.000 SWS</t>
  </si>
  <si>
    <t xml:space="preserve">932-2514 (B)</t>
  </si>
  <si>
    <t xml:space="preserve">932-2514 (C)</t>
  </si>
  <si>
    <t xml:space="preserve">932-2514 (D)</t>
  </si>
  <si>
    <t xml:space="preserve">932-2580 (A + B)</t>
  </si>
  <si>
    <t xml:space="preserve">Blockseminar Berufsfeldanalyse I</t>
  </si>
  <si>
    <t xml:space="preserve">042B-503-P1</t>
  </si>
  <si>
    <t xml:space="preserve">Kämpf, Hanno, Herr Prof. Dr. (Prof) - 8.000 SWS</t>
  </si>
  <si>
    <t xml:space="preserve">932-2601</t>
  </si>
  <si>
    <t xml:space="preserve">WPR-Examinatorium</t>
  </si>
  <si>
    <t xml:space="preserve">1703, 042B-601-P</t>
  </si>
  <si>
    <t xml:space="preserve">09:30 - 13:30</t>
  </si>
  <si>
    <t xml:space="preserve">A3.04, a3.08</t>
  </si>
  <si>
    <t xml:space="preserve">Baldus, Bianca, Frau Prof. Dr. (Prof) - 1.000 SWS;Kober, Wolfgang, Herr Prof. Dr. (LBA) - 3.000 SWS</t>
  </si>
  <si>
    <t xml:space="preserve">932-2602</t>
  </si>
  <si>
    <t xml:space="preserve">Rechtsdurchsetzung &amp; Insolvenzrecht</t>
  </si>
  <si>
    <t xml:space="preserve">Hancke, Johannes Konstantin, Herr Dr. (Prof) - 4.000 SWS</t>
  </si>
  <si>
    <t xml:space="preserve">932-2603</t>
  </si>
  <si>
    <t xml:space="preserve">VWL</t>
  </si>
  <si>
    <t xml:space="preserve">1605, 042B-406-P</t>
  </si>
  <si>
    <t xml:space="preserve">c3.06</t>
  </si>
  <si>
    <t xml:space="preserve">932-2604</t>
  </si>
  <si>
    <t xml:space="preserve">1657, 042B-504-P1E, 042B-504-P2E        </t>
  </si>
  <si>
    <t xml:space="preserve">Trouet, Philipp Julian, Herr (LBA) - 0.500 SWS;Rosinus, Anna, Frau Prof. Dr. (Prof) - 3.500 SWS</t>
  </si>
  <si>
    <t xml:space="preserve">932-2614</t>
  </si>
  <si>
    <t xml:space="preserve">Business Planning (Hausarbeit)</t>
  </si>
  <si>
    <t xml:space="preserve">keine Klausur (13.10.2025)</t>
  </si>
  <si>
    <t xml:space="preserve">932-2615</t>
  </si>
  <si>
    <t xml:space="preserve">Business Planning (mündliche Prüfung)</t>
  </si>
  <si>
    <t xml:space="preserve">932-2701</t>
  </si>
  <si>
    <t xml:space="preserve">Unternehmensrecht - Examinatorium</t>
  </si>
  <si>
    <t xml:space="preserve">1704, 042B-602-P</t>
  </si>
  <si>
    <t xml:space="preserve">Haas, Ingeborg, Frau Prof. Dr. (Prof) - 2.000 SWS;Kämpf, Hanno, Herr Prof. Dr. (Prof) - 0.500 SWS;Dahm, Katharina, Frau Prof. Dr. (Prof) - 1.000 SWS;Nerenberg, Colin, Herr (LKfbA) - 0.500 SWS</t>
  </si>
  <si>
    <t xml:space="preserve">932-2702 (A + B)</t>
  </si>
  <si>
    <t xml:space="preserve">Rechtliches Projekt- &amp; Prozessmanagement</t>
  </si>
  <si>
    <t xml:space="preserve">042B-704-P</t>
  </si>
  <si>
    <t xml:space="preserve">Nerenberg, Colin, Herr (LKfbA) - 8.000 SWS</t>
  </si>
  <si>
    <t xml:space="preserve">932-2780 (A + B)</t>
  </si>
  <si>
    <t xml:space="preserve">Blockseminar Berufsfeldanalyse II</t>
  </si>
  <si>
    <t xml:space="preserve">042B-503-P2</t>
  </si>
  <si>
    <t xml:space="preserve">Kämpf, Hanno, Herr Prof. Dr. (Prof) - 1.000 SWS</t>
  </si>
  <si>
    <t xml:space="preserve">938/D04-2101 (A)</t>
  </si>
  <si>
    <t xml:space="preserve">Programmieren I</t>
  </si>
  <si>
    <t xml:space="preserve">Rostek, Annika, Frau (LBA) - 4.000 SWS</t>
  </si>
  <si>
    <t xml:space="preserve">938/D04-2101 (B)</t>
  </si>
  <si>
    <t xml:space="preserve">Nauroth, Markus, Herr Prof. Dr. (Prof) - 4.000 SWS</t>
  </si>
  <si>
    <t xml:space="preserve">938/D04-2102 (A)</t>
  </si>
  <si>
    <t xml:space="preserve">Grundlagen der Informatik</t>
  </si>
  <si>
    <t xml:space="preserve">938/D04-2102 (B)</t>
  </si>
  <si>
    <t xml:space="preserve">Pöll, Ferdinand, Herr (LBA) - 4.000 SWS</t>
  </si>
  <si>
    <t xml:space="preserve">938/D04-2103 (A)</t>
  </si>
  <si>
    <t xml:space="preserve">Datenbanken I</t>
  </si>
  <si>
    <t xml:space="preserve">08:15 - 09:45</t>
  </si>
  <si>
    <t xml:space="preserve">Klauer, Thomas, Herr Prof. Dr. (Prof) - 4.000 SWS</t>
  </si>
  <si>
    <t xml:space="preserve">938/D04-2103 (B)</t>
  </si>
  <si>
    <t xml:space="preserve">Borchert, Christian, Herr (LBA) - 4.000 SWS</t>
  </si>
  <si>
    <t xml:space="preserve">938/D04-2105 (A)</t>
  </si>
  <si>
    <t xml:space="preserve">Mathematik I</t>
  </si>
  <si>
    <t xml:space="preserve">938/D04-2105 (B)</t>
  </si>
  <si>
    <t xml:space="preserve">Wettig, Jennifer, Frau (Ass) - 4.000 SWS</t>
  </si>
  <si>
    <t xml:space="preserve">938/D04-2107 (A)</t>
  </si>
  <si>
    <t xml:space="preserve">Digitalität in der Gesellschaft</t>
  </si>
  <si>
    <t xml:space="preserve">1304, 1107</t>
  </si>
  <si>
    <t xml:space="preserve">Kordt, Pascal, Herr Prof. Dr.  - SWS</t>
  </si>
  <si>
    <t xml:space="preserve">938/D04-2107 (B)</t>
  </si>
  <si>
    <t xml:space="preserve">938/D04-2156 (A)</t>
  </si>
  <si>
    <t xml:space="preserve">Englisch</t>
  </si>
  <si>
    <t xml:space="preserve">938/D04-2156 (B)</t>
  </si>
  <si>
    <t xml:space="preserve">w</t>
  </si>
  <si>
    <t xml:space="preserve">938/D04-2201 (A)</t>
  </si>
  <si>
    <t xml:space="preserve">Programmieren II</t>
  </si>
  <si>
    <t xml:space="preserve">938/D04-2201 (B)</t>
  </si>
  <si>
    <t xml:space="preserve">938/D04-2202 (A)</t>
  </si>
  <si>
    <t xml:space="preserve">Netzwerke &amp; Infrastruktur</t>
  </si>
  <si>
    <t xml:space="preserve">Rohlmann, Simon, Herr (Prof) - 4.000 SWS</t>
  </si>
  <si>
    <t xml:space="preserve">938/D04-2202 (B)</t>
  </si>
  <si>
    <t xml:space="preserve">938/D04-2203 (A)</t>
  </si>
  <si>
    <t xml:space="preserve">Datenbanken II</t>
  </si>
  <si>
    <t xml:space="preserve">938/D04-2203 (B)</t>
  </si>
  <si>
    <t xml:space="preserve">938/D04-2204 (A)</t>
  </si>
  <si>
    <t xml:space="preserve">Methodik/Systematik/Präsentation</t>
  </si>
  <si>
    <t xml:space="preserve">Heidrich, Jens, Herr Prof. Dr. (Prof) - 4.000 SWS</t>
  </si>
  <si>
    <t xml:space="preserve">938/D04-2204 (B)</t>
  </si>
  <si>
    <t xml:space="preserve">938/D04-2205 (A)</t>
  </si>
  <si>
    <t xml:space="preserve">Mathematik II</t>
  </si>
  <si>
    <t xml:space="preserve">Sellent, Anita, Frau Prof. Dr. (Prof) - 4.000 SWS</t>
  </si>
  <si>
    <t xml:space="preserve">938/D04-2205 (B)</t>
  </si>
  <si>
    <t xml:space="preserve">c3.04</t>
  </si>
  <si>
    <t xml:space="preserve">938/D04-2206 (A)</t>
  </si>
  <si>
    <t xml:space="preserve">IT Recht</t>
  </si>
  <si>
    <t xml:space="preserve">a3.08</t>
  </si>
  <si>
    <t xml:space="preserve">Baldus, Bianca, Frau Prof. Dr. (Prof) - 2.000 SWS;Stein, Julian, Herr (LBA) - 2.000 SWS</t>
  </si>
  <si>
    <t xml:space="preserve">938/D04-2206 (B)</t>
  </si>
  <si>
    <t xml:space="preserve">Stein, Julian, Herr (LBA) - 2.000 SWS;Baldus, Bianca, Frau Prof. Dr. (Prof) - 2.000 SWS</t>
  </si>
  <si>
    <t xml:space="preserve">938/D04-2302 (A)</t>
  </si>
  <si>
    <t xml:space="preserve">Web Technologien</t>
  </si>
  <si>
    <t xml:space="preserve">13:30 - 15:00</t>
  </si>
  <si>
    <t xml:space="preserve">Frank, Johannes Herr (LB)- 4.000 SWS</t>
  </si>
  <si>
    <t xml:space="preserve">938/D04-2302 (B)</t>
  </si>
  <si>
    <t xml:space="preserve">Böhm, Klaus, Herr Prof. Dr. (Prof) - 4.000 SWS</t>
  </si>
  <si>
    <t xml:space="preserve">938/D04-2303 (A)</t>
  </si>
  <si>
    <t xml:space="preserve">Intelligente Informationssysteme</t>
  </si>
  <si>
    <t xml:space="preserve">Kordt, Pascal, Herr Prof. Dr. (Prof) - SWS</t>
  </si>
  <si>
    <t xml:space="preserve">938/D04-2303 (B)</t>
  </si>
  <si>
    <t xml:space="preserve">938/D04-2305 (A)</t>
  </si>
  <si>
    <t xml:space="preserve">IT Sicherheit</t>
  </si>
  <si>
    <t xml:space="preserve">c3.10, c3.08</t>
  </si>
  <si>
    <t xml:space="preserve">Rohlmann, Simon, Herr Dr. (Prof) - 2.000 SWS;Kuntze, Nicolai, Herr Prof. Dr. (Prof) - 2.000 SWS</t>
  </si>
  <si>
    <t xml:space="preserve">938/D04-2305 (B)</t>
  </si>
  <si>
    <t xml:space="preserve">Rohlmann, Simon, Herr Dr. (Prof) - 4.000 SWS</t>
  </si>
  <si>
    <t xml:space="preserve">938/D04-2306 (A)</t>
  </si>
  <si>
    <t xml:space="preserve">Projektmanagement (Präsentationen)</t>
  </si>
  <si>
    <t xml:space="preserve">keine Klausur (final 16.01.2026)</t>
  </si>
  <si>
    <t xml:space="preserve">938/D04-2306 (B)</t>
  </si>
  <si>
    <t xml:space="preserve">938/D04-2308 (A)</t>
  </si>
  <si>
    <t xml:space="preserve">Programmieren III</t>
  </si>
  <si>
    <t xml:space="preserve">keine Klausur (final 18.01.2026)</t>
  </si>
  <si>
    <t xml:space="preserve">Lauff, Markus, Herr Prof. Dr. (Prof) - 4.000 SWS</t>
  </si>
  <si>
    <t xml:space="preserve">938/D04-2308 (B)</t>
  </si>
  <si>
    <t xml:space="preserve">938/D04-2309 (A)</t>
  </si>
  <si>
    <t xml:space="preserve">Enterprise Computing</t>
  </si>
  <si>
    <t xml:space="preserve">Al-Atari, Mareike, Frau (LBA) - 1.000 SWS;Kuntze, Nicolai, Herr Prof. Dr. (Prof) - 3.000 SWS</t>
  </si>
  <si>
    <t xml:space="preserve">938/D04-2309 (B)</t>
  </si>
  <si>
    <t xml:space="preserve">938/D04-2401</t>
  </si>
  <si>
    <t xml:space="preserve">Software Engineering</t>
  </si>
  <si>
    <t xml:space="preserve">keine Klausur (final 30.01.2026)</t>
  </si>
  <si>
    <t xml:space="preserve">938/D04-2402 (A)</t>
  </si>
  <si>
    <t xml:space="preserve">Mobile Technologien</t>
  </si>
  <si>
    <t xml:space="preserve">1402/ 1452</t>
  </si>
  <si>
    <t xml:space="preserve">Rostek, Annika, Frau (LBA) - 2.000 SWS;Nauroth, Markus, Herr Prof. Dr. (Prof) - 2.000 SWS</t>
  </si>
  <si>
    <t xml:space="preserve">938/D04-2402 (B)</t>
  </si>
  <si>
    <t xml:space="preserve">938/D04-2404 (A)</t>
  </si>
  <si>
    <t xml:space="preserve">Betriebssysteme &amp; Plattformen</t>
  </si>
  <si>
    <t xml:space="preserve">keine Klausur (final 23.01.2026)</t>
  </si>
  <si>
    <t xml:space="preserve">Reinhardt, Jens, Herr Prof. Dr. (Prof) - 4.000 SWS</t>
  </si>
  <si>
    <t xml:space="preserve">938/D04-2404 (B)</t>
  </si>
  <si>
    <t xml:space="preserve">938/D04-2407</t>
  </si>
  <si>
    <t xml:space="preserve">Software Projekt</t>
  </si>
  <si>
    <t xml:space="preserve">938/D04-2508</t>
  </si>
  <si>
    <t xml:space="preserve">Große und verteilte Systeme</t>
  </si>
  <si>
    <t xml:space="preserve">938/D04-2580</t>
  </si>
  <si>
    <t xml:space="preserve">Praxismodul I</t>
  </si>
  <si>
    <t xml:space="preserve">30%, 20%</t>
  </si>
  <si>
    <t xml:space="preserve">938/D04-1680</t>
  </si>
  <si>
    <t xml:space="preserve">Praxismodul II</t>
  </si>
  <si>
    <t xml:space="preserve">D01/D08-2101 (A)</t>
  </si>
  <si>
    <t xml:space="preserve">Grundlagen Mediengestaltung (50% Klausur, 50% Einzelarbeit)</t>
  </si>
  <si>
    <t xml:space="preserve">08:15 - 09:00</t>
  </si>
  <si>
    <t xml:space="preserve">Wenner, Michaela, Frau (LBA) - 3.000 SWS</t>
  </si>
  <si>
    <t xml:space="preserve">D01/D08-2101 (B)</t>
  </si>
  <si>
    <t xml:space="preserve">Grundlagen Mediengestaltung</t>
  </si>
  <si>
    <t xml:space="preserve">D01/D08-2102</t>
  </si>
  <si>
    <t xml:space="preserve">Grundlagen Medieninformatik</t>
  </si>
  <si>
    <t xml:space="preserve">Hauck, Marcel, Herr Prof. Dr. (Prof) - 3.000 SWS</t>
  </si>
  <si>
    <t xml:space="preserve">D01/D08-2103</t>
  </si>
  <si>
    <t xml:space="preserve">Grundlagen Medienmanagement</t>
  </si>
  <si>
    <t xml:space="preserve">11:00 - 12:30</t>
  </si>
  <si>
    <t xml:space="preserve">Pagel, Sven, Herr Prof. Dr. (Prof) - 3.000 SWS</t>
  </si>
  <si>
    <t xml:space="preserve">D01/D08-2104</t>
  </si>
  <si>
    <t xml:space="preserve">Grundlagen Wirtschaftsinformatik</t>
  </si>
  <si>
    <t xml:space="preserve">D01/D08-2105</t>
  </si>
  <si>
    <t xml:space="preserve">ten Thoren, Janna, Frau (Ass) - 3.000 SWS</t>
  </si>
  <si>
    <t xml:space="preserve">D01/D08-2201</t>
  </si>
  <si>
    <t xml:space="preserve">Medienproduktion I (Digital &amp; Print)</t>
  </si>
  <si>
    <t xml:space="preserve">Friederich, Jens, Herr (Ass) - 3.000 SWS</t>
  </si>
  <si>
    <t xml:space="preserve">D01/D08-2202</t>
  </si>
  <si>
    <t xml:space="preserve">Softwareentwicklung I (Frontend)</t>
  </si>
  <si>
    <t xml:space="preserve">Hauck, Marcel, Herr Dr. (Prof) - 3.000 SWS</t>
  </si>
  <si>
    <t xml:space="preserve">D01/D08-2203</t>
  </si>
  <si>
    <t xml:space="preserve">Marketing I (Grundlagen)</t>
  </si>
  <si>
    <t xml:space="preserve">Kostyra, Daniel, Herr Prof. Dr. (LBA) - 4.000 SWS</t>
  </si>
  <si>
    <t xml:space="preserve">D01/D08-2204</t>
  </si>
  <si>
    <t xml:space="preserve">10:30 - 12:00</t>
  </si>
  <si>
    <t xml:space="preserve">D01/D08-2205</t>
  </si>
  <si>
    <t xml:space="preserve">D08-2206</t>
  </si>
  <si>
    <t xml:space="preserve">Projektmanagement</t>
  </si>
  <si>
    <t xml:space="preserve">Pagel, Sven, Herr Prof. Dr. (Prof) - 2.000 SWS</t>
  </si>
  <si>
    <t xml:space="preserve">D01-2206</t>
  </si>
  <si>
    <t xml:space="preserve">D01/D08-2301 (A)</t>
  </si>
  <si>
    <t xml:space="preserve">Medienproduktion II (Bild &amp; Ton) (Projektarbeit)</t>
  </si>
  <si>
    <t xml:space="preserve">15:45 - 19:00</t>
  </si>
  <si>
    <t xml:space="preserve">Rauh, Simon, Herr (LBA) - 3.000 SWS</t>
  </si>
  <si>
    <t xml:space="preserve">D01/D08-2301 (B)</t>
  </si>
  <si>
    <t xml:space="preserve">Heidenreich, Merlin, Herr (LBA) - 3.000 SWS</t>
  </si>
  <si>
    <t xml:space="preserve">D01/D08-2302</t>
  </si>
  <si>
    <t xml:space="preserve">Softwareentwicklung II (Backend)</t>
  </si>
  <si>
    <t xml:space="preserve">Hauck, Marcel, Herr Prof. Dr. (Prof) - 4.000 SWS</t>
  </si>
  <si>
    <t xml:space="preserve">D01/D08-2304</t>
  </si>
  <si>
    <t xml:space="preserve">Marketing II (Digital &amp; Social Media Marketing)</t>
  </si>
  <si>
    <t xml:space="preserve">keine Klausur (Deadline: 06.02.2025)</t>
  </si>
  <si>
    <t xml:space="preserve">Kostyra, Daniel, Herr Prof. Dr. (Prof) - 3.000 SWS</t>
  </si>
  <si>
    <t xml:space="preserve">D01/D08-2305</t>
  </si>
  <si>
    <t xml:space="preserve">Medien- &amp; IT-Recht</t>
  </si>
  <si>
    <t xml:space="preserve">Worm, Ulrich, Herr Dr. (LBA) - 4.000 SWS</t>
  </si>
  <si>
    <t xml:space="preserve">D01/D08-2380</t>
  </si>
  <si>
    <t xml:space="preserve">Baldauf, Lisa, Frau (LBA) - 2.000 SWS;Hauck, Marcel, Herr Prof. Dr. (Prof) - 2.000 SWS</t>
  </si>
  <si>
    <t xml:space="preserve">D01-2303</t>
  </si>
  <si>
    <t xml:space="preserve">Rechnungswesen I (Grundlagen des Rechnungswesens)</t>
  </si>
  <si>
    <t xml:space="preserve">d1.08/d1.10</t>
  </si>
  <si>
    <t xml:space="preserve">Flegel, Felix, Herr (LBA) - 4.000 SWS</t>
  </si>
  <si>
    <t xml:space="preserve">D08-2303</t>
  </si>
  <si>
    <t xml:space="preserve">D01/D08-2401</t>
  </si>
  <si>
    <t xml:space="preserve">User Experience Design</t>
  </si>
  <si>
    <t xml:space="preserve">Bluhm, Jürgen 2,0 SWS; Sieber, Florian 1,0 SWS</t>
  </si>
  <si>
    <t xml:space="preserve">D01/D08-2402</t>
  </si>
  <si>
    <t xml:space="preserve">Data Science I (Datenbanken)</t>
  </si>
  <si>
    <t xml:space="preserve">Kowalczyk, Martin, Herr Prof. Dr. (Prof) - 4.000 SWS</t>
  </si>
  <si>
    <t xml:space="preserve">D08-2403</t>
  </si>
  <si>
    <t xml:space="preserve">Rechnungswesen II (Investition und Finanzierung)</t>
  </si>
  <si>
    <t xml:space="preserve">D01-2403</t>
  </si>
  <si>
    <t xml:space="preserve">D01/D08-2404</t>
  </si>
  <si>
    <t xml:space="preserve">Business Process Management</t>
  </si>
  <si>
    <t xml:space="preserve">D01/D08-2501</t>
  </si>
  <si>
    <t xml:space="preserve">Interactive Storytelling</t>
  </si>
  <si>
    <t xml:space="preserve">Friederich, Jens, Herr (Ass) - 1.500 SWS;Rossner, Alexander, Herr (LKfbA) - 1.500 SWS</t>
  </si>
  <si>
    <t xml:space="preserve">D01/D08-2502</t>
  </si>
  <si>
    <t xml:space="preserve">Data Science II (Data Analytics)</t>
  </si>
  <si>
    <t xml:space="preserve">D01/D08-2503</t>
  </si>
  <si>
    <t xml:space="preserve">Human Resource Management</t>
  </si>
  <si>
    <t xml:space="preserve">Schweinitz, Amelie von, Frau (LBA) - 2.000 SWS;Christ, Michael, Herr Prof. Dr. (Prof) - 2.000 SWS</t>
  </si>
  <si>
    <t xml:space="preserve">D01/D08-2504</t>
  </si>
  <si>
    <t xml:space="preserve">E-Business</t>
  </si>
  <si>
    <t xml:space="preserve">Pagel, Sven, Herr Prof. Dr. (Prof) - 4.000 SWS</t>
  </si>
  <si>
    <t xml:space="preserve">D01-2580</t>
  </si>
  <si>
    <t xml:space="preserve">Praxis-Modul</t>
  </si>
  <si>
    <t xml:space="preserve">Pagel, Sven, Herr Prof. Dr. (Prof) - 4.000 SWS;Person, Kopie, Frau (ADMIN) - SWS</t>
  </si>
  <si>
    <t xml:space="preserve">D08-2580</t>
  </si>
  <si>
    <t xml:space="preserve">Ostheimer, Bernhard, Herr Prof. Dr. (Prof) - 4.000 SWS</t>
  </si>
  <si>
    <t xml:space="preserve">D01/D08-2601</t>
  </si>
  <si>
    <t xml:space="preserve">Digital Media Projekt</t>
  </si>
  <si>
    <t xml:space="preserve">Rossner, Alexander, Herr (LKfbA) - 1.000 SWS;Horbach, Flavio, Herr (Ass) - 1.000 SWS</t>
  </si>
  <si>
    <t xml:space="preserve">D01/D08-2602</t>
  </si>
  <si>
    <t xml:space="preserve">10:15 - 11:45</t>
  </si>
  <si>
    <t xml:space="preserve">Kuntze, Nicolai, Herr Prof. Dr. (Prof) - 4.000 SWS</t>
  </si>
  <si>
    <t xml:space="preserve">D01/D08-2603</t>
  </si>
  <si>
    <t xml:space="preserve">Unternehmensführung (inkl. Business Planning)</t>
  </si>
  <si>
    <t xml:space="preserve">Hauck, Marcel, Herr Dr. (Prof) - 1.500 SWS;Ostheimer, Bernhard, Herr Prof. Dr. (Prof) - 1.500 SWS</t>
  </si>
  <si>
    <t xml:space="preserve">D01/D08-2604</t>
  </si>
  <si>
    <t xml:space="preserve">Management digitaler Produkte</t>
  </si>
  <si>
    <t xml:space="preserve">964B-101</t>
  </si>
  <si>
    <t xml:space="preserve">Müller, Sebastian, Herr Prof. Dr. (Prof) - 4.000 SWS</t>
  </si>
  <si>
    <t xml:space="preserve">964B-102</t>
  </si>
  <si>
    <t xml:space="preserve">Fundamentals of Accounting</t>
  </si>
  <si>
    <t xml:space="preserve">964B-103 (A)</t>
  </si>
  <si>
    <t xml:space="preserve">Cross Cultural Management</t>
  </si>
  <si>
    <t xml:space="preserve">Breu, Britt, Frau - SWS</t>
  </si>
  <si>
    <t xml:space="preserve">964B-104</t>
  </si>
  <si>
    <t xml:space="preserve">Mathematics</t>
  </si>
  <si>
    <t xml:space="preserve">964B-105</t>
  </si>
  <si>
    <t xml:space="preserve">Introduction to Scientific Writing &amp; Presentation</t>
  </si>
  <si>
    <t xml:space="preserve">Mehler-Bicher, Anett, Frau Prof. Dr. (Prof) - 2.750 SWS;Schneider, Julia, Frau (LBA) - 1.250 SWS</t>
  </si>
  <si>
    <t xml:space="preserve">F25B-101</t>
  </si>
  <si>
    <t xml:space="preserve">Grundlagen der Programmierung</t>
  </si>
  <si>
    <t xml:space="preserve">F25B-102</t>
  </si>
  <si>
    <t xml:space="preserve">Schweim, Dirk, Herr Prof. Dr. (Prof) - 4.000 SWS</t>
  </si>
  <si>
    <t xml:space="preserve">F25B-103</t>
  </si>
  <si>
    <t xml:space="preserve">Grundlagen der Resilienz</t>
  </si>
  <si>
    <t xml:space="preserve">Loomans, Dirk, Herr Prof. Dr. (LBA) - 4.000 SWS</t>
  </si>
  <si>
    <t xml:space="preserve">F25B-104</t>
  </si>
  <si>
    <t xml:space="preserve">F25B-105</t>
  </si>
  <si>
    <t xml:space="preserve">F25B-106</t>
  </si>
  <si>
    <t xml:space="preserve">Grundlagen der BWL</t>
  </si>
  <si>
    <t xml:space="preserve">Fränzl, Jonas, Herr (Ass) - 4.000 SWS</t>
  </si>
  <si>
    <t xml:space="preserve">000-25053</t>
  </si>
  <si>
    <t xml:space="preserve">School of Coding</t>
  </si>
  <si>
    <t xml:space="preserve">000-788</t>
  </si>
  <si>
    <t xml:space="preserve">keine Klausur (12.01.2026)</t>
  </si>
  <si>
    <t xml:space="preserve">Groß, Torsten, Herr (LBA) - 4.000 SWS</t>
  </si>
  <si>
    <t xml:space="preserve">00-000-11-515-05-P</t>
  </si>
  <si>
    <t xml:space="preserve">Prompf Engineering for Managers</t>
  </si>
  <si>
    <t xml:space="preserve">000-23060</t>
  </si>
  <si>
    <t xml:space="preserve">Wunder, Andreas, Herr (Ass) - 1.33 SWS;Au, Christian, Herr Prof. Dr. (Prof) - 1.33 SWS;Fränzl, Jonas, Herr (Ass) - 1.33 SWS</t>
  </si>
  <si>
    <t xml:space="preserve">000-369</t>
  </si>
  <si>
    <t xml:space="preserve">Impulse für zukünftige Führungskräfte</t>
  </si>
  <si>
    <t xml:space="preserve">Mehler-Bicher, Anett, Frau Prof. Dr. (Prof) - 1.000 SWS;Schneider, Julia, Frau (LBA) - 3.000 SWS</t>
  </si>
  <si>
    <t xml:space="preserve">000-113</t>
  </si>
  <si>
    <t xml:space="preserve">Business &amp; Kultur in Afrika - Exkursion</t>
  </si>
  <si>
    <t xml:space="preserve">Lorenz, Karsten, Herr Prof. Dr. (Prof) - 1.000 SWS;Hensel, Claudia, Frau Prof. Dr. (Prof) - 1.000 SWS</t>
  </si>
  <si>
    <t xml:space="preserve">000-20071</t>
  </si>
  <si>
    <t xml:space="preserve">Mentoring</t>
  </si>
  <si>
    <t xml:space="preserve">kein Klausur (Deadline Hausarbeit 15.02.2026)</t>
  </si>
  <si>
    <t xml:space="preserve">Dahm, Katharina Prof. Dr.</t>
  </si>
  <si>
    <t xml:space="preserve">000-516</t>
  </si>
  <si>
    <t xml:space="preserve">Management in Action</t>
  </si>
  <si>
    <t xml:space="preserve">kein Klausur (final 12.01.2026)</t>
  </si>
  <si>
    <t xml:space="preserve">001-900025</t>
  </si>
  <si>
    <t xml:space="preserve">Französisch A1.2</t>
  </si>
  <si>
    <t xml:space="preserve">001-900023</t>
  </si>
  <si>
    <t xml:space="preserve">Sorrentino, Florence, Frau (LKfbA) - 4.000 SWS</t>
  </si>
  <si>
    <t xml:space="preserve">001-900205</t>
  </si>
  <si>
    <t xml:space="preserve">Französisch B1</t>
  </si>
  <si>
    <t xml:space="preserve">001-900203</t>
  </si>
  <si>
    <t xml:space="preserve">11:15 - 12:45</t>
  </si>
  <si>
    <t xml:space="preserve">001-900005</t>
  </si>
  <si>
    <t xml:space="preserve">Französisch A1</t>
  </si>
  <si>
    <t xml:space="preserve">001-900003</t>
  </si>
  <si>
    <t xml:space="preserve">001-900105</t>
  </si>
  <si>
    <t xml:space="preserve">Französisch A2</t>
  </si>
  <si>
    <t xml:space="preserve">001-900103</t>
  </si>
  <si>
    <t xml:space="preserve">001-900225</t>
  </si>
  <si>
    <t xml:space="preserve">Französisch B1.2</t>
  </si>
  <si>
    <t xml:space="preserve">001-900223</t>
  </si>
  <si>
    <t xml:space="preserve">001-900305</t>
  </si>
  <si>
    <t xml:space="preserve">Französisch B2</t>
  </si>
  <si>
    <t xml:space="preserve">001-900303</t>
  </si>
  <si>
    <t xml:space="preserve">001-900405</t>
  </si>
  <si>
    <t xml:space="preserve">Französisch C1</t>
  </si>
  <si>
    <t xml:space="preserve">001-900403</t>
  </si>
  <si>
    <t xml:space="preserve">001-901005 (A)</t>
  </si>
  <si>
    <t xml:space="preserve">Spanisch A1</t>
  </si>
  <si>
    <t xml:space="preserve">901005 (DIM), 001-901003 (A)</t>
  </si>
  <si>
    <t xml:space="preserve">Sarrazin Castillo, Alejandra, Frau (LBA) - 4.000 SWS</t>
  </si>
  <si>
    <t xml:space="preserve">001-901005 (B)</t>
  </si>
  <si>
    <t xml:space="preserve">González Pagés, Maria Victoria, Frau (LBA)  Frau (LBA) - 4.000 SWS</t>
  </si>
  <si>
    <t xml:space="preserve">001-901005 (C)</t>
  </si>
  <si>
    <t xml:space="preserve">González Pagés, Maria Victoria, Frau (LBA) - 4.000 SWS</t>
  </si>
  <si>
    <t xml:space="preserve">001-901105 (A)</t>
  </si>
  <si>
    <t xml:space="preserve">Spanisch A2</t>
  </si>
  <si>
    <t xml:space="preserve">001-901103</t>
  </si>
  <si>
    <t xml:space="preserve">Garcia Fernandez, Analia Gabriela, Frau (LKfbA) - 4.000 SWS</t>
  </si>
  <si>
    <t xml:space="preserve">001-901105 (B)</t>
  </si>
  <si>
    <t xml:space="preserve">001-901215</t>
  </si>
  <si>
    <t xml:space="preserve">Spanisch B1.1</t>
  </si>
  <si>
    <t xml:space="preserve">001-901213</t>
  </si>
  <si>
    <t xml:space="preserve">Pérez Hernández, Reynier, Herr Dr. (LBA) - 4.000 SWS</t>
  </si>
  <si>
    <t xml:space="preserve">001-901225</t>
  </si>
  <si>
    <t xml:space="preserve">Spanisch B1.2</t>
  </si>
  <si>
    <t xml:space="preserve">001-901223, B09-60182</t>
  </si>
  <si>
    <t xml:space="preserve">Garcia Fernandez, Analia Gabriela 4,0 SWS</t>
  </si>
  <si>
    <t xml:space="preserve">001-901315</t>
  </si>
  <si>
    <t xml:space="preserve">Spanisch B2.1</t>
  </si>
  <si>
    <t xml:space="preserve">001-901325</t>
  </si>
  <si>
    <t xml:space="preserve">Spanisch B2.2</t>
  </si>
  <si>
    <t xml:space="preserve">B09-60381</t>
  </si>
  <si>
    <t xml:space="preserve">001-901405</t>
  </si>
  <si>
    <t xml:space="preserve">Spanisch C1</t>
  </si>
  <si>
    <t xml:space="preserve">B09-60382</t>
  </si>
  <si>
    <t xml:space="preserve">Rete, Oscar Miguel, Herr (LBA - 2.000 SWS;Garcia Fernandez, Analia Gabriela, Frau (LKfbA) - 2.000 SWS</t>
  </si>
  <si>
    <t xml:space="preserve">001-902015</t>
  </si>
  <si>
    <t xml:space="preserve">Chinesisch A1.1</t>
  </si>
  <si>
    <t xml:space="preserve">Zhu, Yabo, Herr (LBA) - 4.000 SWS</t>
  </si>
  <si>
    <t xml:space="preserve">001-902105</t>
  </si>
  <si>
    <t xml:space="preserve">Chinesisch A2</t>
  </si>
  <si>
    <t xml:space="preserve">001-904015</t>
  </si>
  <si>
    <t xml:space="preserve">Russisch A1.1</t>
  </si>
  <si>
    <t xml:space="preserve">18:15 - 19:45</t>
  </si>
  <si>
    <t xml:space="preserve">Gurvici-Tenenbaum, Ines, Frau (LBA) - 4.000 SWS</t>
  </si>
  <si>
    <t xml:space="preserve">001-907015 (A)</t>
  </si>
  <si>
    <t xml:space="preserve">Deutsch A1.1</t>
  </si>
  <si>
    <t xml:space="preserve">Kromer, Tilman, Herr (LKfbA) - 4.000 SWS</t>
  </si>
  <si>
    <t xml:space="preserve">001-907015 (B)</t>
  </si>
  <si>
    <t xml:space="preserve">Blank, Biljana, Frau (LKfbA) - 4.000 SWS</t>
  </si>
  <si>
    <t xml:space="preserve">001-907025</t>
  </si>
  <si>
    <t xml:space="preserve">Deutsch A1.2</t>
  </si>
  <si>
    <t xml:space="preserve">001-907115</t>
  </si>
  <si>
    <t xml:space="preserve">Deutsch A2.1</t>
  </si>
  <si>
    <t xml:space="preserve">B09-60383</t>
  </si>
  <si>
    <t xml:space="preserve">001-907125</t>
  </si>
  <si>
    <t xml:space="preserve">Deutsch A2.2</t>
  </si>
  <si>
    <t xml:space="preserve">B09-60483</t>
  </si>
  <si>
    <t xml:space="preserve">001-907215</t>
  </si>
  <si>
    <t xml:space="preserve">Deutsch B1.1</t>
  </si>
  <si>
    <t xml:space="preserve">B09-60384</t>
  </si>
  <si>
    <t xml:space="preserve">001-907225</t>
  </si>
  <si>
    <t xml:space="preserve">Deutsch B1.2</t>
  </si>
  <si>
    <t xml:space="preserve">B09-60484</t>
  </si>
  <si>
    <t xml:space="preserve">001-907315</t>
  </si>
  <si>
    <t xml:space="preserve">Deutsch B2.1</t>
  </si>
  <si>
    <t xml:space="preserve">B09-60385</t>
  </si>
  <si>
    <t xml:space="preserve">001-907415</t>
  </si>
  <si>
    <t xml:space="preserve">Deutsch C1.1</t>
  </si>
  <si>
    <t xml:space="preserve">Dahmer, Arno, Herr (LB) - 4.000 SWS</t>
  </si>
  <si>
    <t xml:space="preserve">001-907325</t>
  </si>
  <si>
    <t xml:space="preserve">Deutsch B2.2</t>
  </si>
  <si>
    <t xml:space="preserve">B09-60485</t>
  </si>
  <si>
    <t xml:space="preserve">001-907425</t>
  </si>
  <si>
    <t xml:space="preserve">Deutsch C1.2</t>
  </si>
  <si>
    <t xml:space="preserve">001-908505</t>
  </si>
  <si>
    <t xml:space="preserve">Englisch C1: Negotiation Skills</t>
  </si>
  <si>
    <t xml:space="preserve">001-908605</t>
  </si>
  <si>
    <t xml:space="preserve">Englisch C1: Working in Multicultural Teams</t>
  </si>
  <si>
    <t xml:space="preserve">Thompson, Liam, Herr (LKfbA) - 2.000 SWS; Watson, Heather, Frau - 2.000 SWS</t>
  </si>
  <si>
    <t xml:space="preserve">001-908805</t>
  </si>
  <si>
    <t xml:space="preserve">Englisch C1: Intercultural Business Communication</t>
  </si>
  <si>
    <t xml:space="preserve">Wray-Boothe, Jenese, Frau Dr. (LBA) - 4.000 SWS</t>
  </si>
  <si>
    <t xml:space="preserve">001-910015</t>
  </si>
  <si>
    <t xml:space="preserve">Italienisch A1.1</t>
  </si>
  <si>
    <t xml:space="preserve">001-910013</t>
  </si>
  <si>
    <t xml:space="preserve">Ceroni, Daniela, Frau (LBA) - 4.000 SWS</t>
  </si>
  <si>
    <t xml:space="preserve">001-910025</t>
  </si>
  <si>
    <t xml:space="preserve">Italienisch A1.2</t>
  </si>
  <si>
    <t xml:space="preserve">001-910023</t>
  </si>
  <si>
    <t xml:space="preserve">001-912005</t>
  </si>
  <si>
    <t xml:space="preserve">Portugiesisch A1</t>
  </si>
  <si>
    <t xml:space="preserve">Correia, Ana Paula, Frau (LBA) - 4.000 SWS</t>
  </si>
  <si>
    <t xml:space="preserve">000-440018</t>
  </si>
  <si>
    <t xml:space="preserve">Die Wirtschafts- und Sozialordnung Deutschlands</t>
  </si>
  <si>
    <t xml:space="preserve">B09-60352</t>
  </si>
  <si>
    <t xml:space="preserve">18:30 - 20:30 </t>
  </si>
  <si>
    <t xml:space="preserve">Schüle, Ulrich, Herr Prof. Dr. (Prof) - 4.000 SWS</t>
  </si>
  <si>
    <t xml:space="preserve">000-10043</t>
  </si>
  <si>
    <t xml:space="preserve">Aktuelle Trends im Controlling (Klausur und Präsentationen incl. Hausarbeit)</t>
  </si>
  <si>
    <t xml:space="preserve">16:00 - 17:00</t>
  </si>
  <si>
    <t xml:space="preserve">Rathje, Britta, Frau Prof. Dr. (Prof) - 1.200 SWS;Deimel, Ralf, Herr (LBA) - 1.200 SWS;Landwehr-Zloch, Sabine, Frau Prof. Dr. (Prof) - 1.600 SWS</t>
  </si>
  <si>
    <t xml:space="preserve">000-10044</t>
  </si>
  <si>
    <t xml:space="preserve">Anwendungssysteme im Unternehmen</t>
  </si>
  <si>
    <t xml:space="preserve">Weitzel, Dirk, Herr Prof. Dr. (Prof) - 2.000 SWS;Rödder, Nico, Herr Prof. Dr. (Prof) - 2.000 SWS</t>
  </si>
  <si>
    <t xml:space="preserve">000-10029</t>
  </si>
  <si>
    <t xml:space="preserve">Applied Rational Decision Making</t>
  </si>
  <si>
    <t xml:space="preserve">000-10042</t>
  </si>
  <si>
    <t xml:space="preserve">Aktuelle Fragen der Wirtschaftspolitik</t>
  </si>
  <si>
    <t xml:space="preserve">Bartels, Bernhard, Herr Prof. Dr. (Prof) - 2.000 SWS;Gadatsch, Niklas, Herr Prof. Dr. (Prof) - 2.000 SWS</t>
  </si>
  <si>
    <t xml:space="preserve">000-10034</t>
  </si>
  <si>
    <t xml:space="preserve">Angewandte Robotik</t>
  </si>
  <si>
    <t xml:space="preserve">000-11030</t>
  </si>
  <si>
    <t xml:space="preserve">Bank- und Finanzmanagement</t>
  </si>
  <si>
    <t xml:space="preserve">d1.08/d1.10, A0.12</t>
  </si>
  <si>
    <t xml:space="preserve">Wittstock, Anja, Frau Prof. Dr. (Prof) - 4.000 SWS</t>
  </si>
  <si>
    <t xml:space="preserve">000-11065</t>
  </si>
  <si>
    <t xml:space="preserve">Beschaffung und Einkauf</t>
  </si>
  <si>
    <t xml:space="preserve">Wollny, Volrad, Herr Prof. Dr. (Prof) - 2.000 SWS;Kwiatkowski, Sascha, Herr (LBA) - 2.000 SWS</t>
  </si>
  <si>
    <t xml:space="preserve">000-66804</t>
  </si>
  <si>
    <t xml:space="preserve">Bootcamp - Verhandlungsführung/Kommunikation/Präsentation</t>
  </si>
  <si>
    <t xml:space="preserve">Nerenberg, Colin, Herr (LKfbA) - 4.000 SWS</t>
  </si>
  <si>
    <t xml:space="preserve">000-11046</t>
  </si>
  <si>
    <t xml:space="preserve">Business Creativity</t>
  </si>
  <si>
    <t xml:space="preserve">kein Klausur (19.10.2025)</t>
  </si>
  <si>
    <t xml:space="preserve">Eickhoff, Matthias, Herr Prof. Dr. (Prof) - 4.000 SWS</t>
  </si>
  <si>
    <t xml:space="preserve">000-11067</t>
  </si>
  <si>
    <t xml:space="preserve">Business and Human Rights</t>
  </si>
  <si>
    <t xml:space="preserve">16:15 - 18:15</t>
  </si>
  <si>
    <t xml:space="preserve">Kamal, Waschma, Frau (LBA) - 4.000 SWS</t>
  </si>
  <si>
    <t xml:space="preserve">20251</t>
  </si>
  <si>
    <t xml:space="preserve">000-11063</t>
  </si>
  <si>
    <t xml:space="preserve">Compliance-Organisation in der Unternehmenspraxis</t>
  </si>
  <si>
    <t xml:space="preserve">Nerenberg, Colin, Herr (LKfbA) - 3.000 SWS;Weber, Martin, Herr Prof. Dr. (Prof) - 1.000 SWS</t>
  </si>
  <si>
    <t xml:space="preserve">000-66802</t>
  </si>
  <si>
    <t xml:space="preserve">Comprehensive Management of Biopharmaceutical Innovations and Strategies</t>
  </si>
  <si>
    <t xml:space="preserve">000-11026</t>
  </si>
  <si>
    <t xml:space="preserve">Controlling Essentials</t>
  </si>
  <si>
    <t xml:space="preserve">000-22002 Operatives Controlling (w)</t>
  </si>
  <si>
    <t xml:space="preserve">Fischbach, Sven, Herr Prof. Dr. (Prof) - 2.500 SWS;Böhm, Oliver, Herr (LBA) - 1.500 SWS</t>
  </si>
  <si>
    <t xml:space="preserve">000-11062</t>
  </si>
  <si>
    <t xml:space="preserve">Creating Shared Value</t>
  </si>
  <si>
    <t xml:space="preserve">000-12049</t>
  </si>
  <si>
    <t xml:space="preserve">Data Science für BWL</t>
  </si>
  <si>
    <t xml:space="preserve">Kowalczyk, Martin, Herr Prof. Dr. (Prof) - 2.000 SWS;Huschens, Martin, Herr Prof. Dr. (Prof) - 2.000 SWS</t>
  </si>
  <si>
    <t xml:space="preserve">000-12043</t>
  </si>
  <si>
    <t xml:space="preserve">Datenschutzrecht und IT-Sicherheit</t>
  </si>
  <si>
    <t xml:space="preserve">Kuntze, Nicolai, Herr Prof. Dr. (Prof) - 1.000 SWS;Baldus, Bianca, Frau Prof. Dr. (Prof) - 1.500 SWS;Bormann, Elena, Frau (LBA) - 1.500 SWS</t>
  </si>
  <si>
    <t xml:space="preserve">000-12048</t>
  </si>
  <si>
    <t xml:space="preserve">Data Literacy</t>
  </si>
  <si>
    <t xml:space="preserve">Griebsch, Susanne, Frau Prof. Dr. (Prof) - 1.200 SWS;Schlütter, Sebastian, Herr Prof. Dr. (Prof) - 0.300 SWS;Kurz, Claudia, Frau Prof. Dr. (Prof) - 0.300 SWS;Kowalczyk, Martin, Herr Prof. Dr. (Prof) - 2.000 SWS;Person, Kopie, Frau (ADMIN) - SWS</t>
  </si>
  <si>
    <t xml:space="preserve">000-12047</t>
  </si>
  <si>
    <t xml:space="preserve">Digitale Bildbearbeitung</t>
  </si>
  <si>
    <t xml:space="preserve">Rossner, Alexander, Herr (LKfbA) - 2.000 SWS;Friederich, Jens, Herr (Ass) - 2.000 SWS</t>
  </si>
  <si>
    <t xml:space="preserve">000-12046</t>
  </si>
  <si>
    <t xml:space="preserve">Datenjournalismus und -visualisierung</t>
  </si>
  <si>
    <t xml:space="preserve">Eggers, Jan, Herr (LBA) - 4.000 SWS</t>
  </si>
  <si>
    <t xml:space="preserve">000-12042</t>
  </si>
  <si>
    <t xml:space="preserve">Digital Marketing</t>
  </si>
  <si>
    <t xml:space="preserve">keine Klausur (12.012026)</t>
  </si>
  <si>
    <t xml:space="preserve">000-13017</t>
  </si>
  <si>
    <t xml:space="preserve">Entrepreneurship</t>
  </si>
  <si>
    <t xml:space="preserve">Konrad, Elmar, Herr Prof. Dr. (Prof) - 4.000 SWS</t>
  </si>
  <si>
    <t xml:space="preserve">000-13047</t>
  </si>
  <si>
    <t xml:space="preserve">Ethical Hacking</t>
  </si>
  <si>
    <t xml:space="preserve">000-14006</t>
  </si>
  <si>
    <t xml:space="preserve">Führung, Personal- und Organisationsentwicklung</t>
  </si>
  <si>
    <t xml:space="preserve">Rank, Susanne, Frau Prof. Dr. (Prof) - 4.000 SWS</t>
  </si>
  <si>
    <t xml:space="preserve">000-15023</t>
  </si>
  <si>
    <t xml:space="preserve">Game Development (Gruppenpräsentationen)</t>
  </si>
  <si>
    <t xml:space="preserve">15:00 – 19:00</t>
  </si>
  <si>
    <t xml:space="preserve">Metz, Tom-Niklas, Herr (LBA) - 2.000 SWS;Täffner, Marcel, Herr (LBA) - 2.000 SWS</t>
  </si>
  <si>
    <t xml:space="preserve">000-66805</t>
  </si>
  <si>
    <t xml:space="preserve">Global and international Business: Exploring Innovation</t>
  </si>
  <si>
    <t xml:space="preserve">Yilmaz, Rabia, Frau (LBA) - 2.000 SWS;Colpa, Aida, Frau (Ass) - 2.000 SWS</t>
  </si>
  <si>
    <t xml:space="preserve">000-17080</t>
  </si>
  <si>
    <t xml:space="preserve">Innovative Geschäftsmodelle und Technologien in digitalen Medien</t>
  </si>
  <si>
    <t xml:space="preserve">Ostheimer, Bernhard, Herr Prof. Dr. (Prof) - 3.000 SWS</t>
  </si>
  <si>
    <t xml:space="preserve">000-17051</t>
  </si>
  <si>
    <t xml:space="preserve">Internationale Rechnungslegung</t>
  </si>
  <si>
    <t xml:space="preserve">08:00 - 10:00</t>
  </si>
  <si>
    <t xml:space="preserve">Lorenz, Karsten, Herr Prof. Dr. (Prof) - 4.000 SWS</t>
  </si>
  <si>
    <t xml:space="preserve">000-17012</t>
  </si>
  <si>
    <t xml:space="preserve">Internationales Steuerrecht</t>
  </si>
  <si>
    <t xml:space="preserve">Schüller, Niklas, Herr (LBA) - 3.000 SWS;Kämpf, Hanno, Herr Prof. Dr. (Prof) - 1.000 SWS</t>
  </si>
  <si>
    <t xml:space="preserve">000-17041</t>
  </si>
  <si>
    <t xml:space="preserve">Internationale Klima- und Umweltpolitik</t>
  </si>
  <si>
    <t xml:space="preserve">000-18021</t>
  </si>
  <si>
    <t xml:space="preserve">Konsumentenpsychologie und -verhalten</t>
  </si>
  <si>
    <t xml:space="preserve">keine Klausur (letzte Abgabe 07.01.2026)</t>
  </si>
  <si>
    <t xml:space="preserve">Redler, Jörn, Herr Prof. Dr. (Prof) - 4.000 SWS</t>
  </si>
  <si>
    <t xml:space="preserve">000-19016</t>
  </si>
  <si>
    <t xml:space="preserve">Logistics &amp; Supply Chain Management</t>
  </si>
  <si>
    <t xml:space="preserve">Berbner, Ulrich, Herr Prof. Dr. (Prof) - 4.000 SWS</t>
  </si>
  <si>
    <t xml:space="preserve">000-20068</t>
  </si>
  <si>
    <t xml:space="preserve">Marketing Analytics</t>
  </si>
  <si>
    <t xml:space="preserve">000-20070</t>
  </si>
  <si>
    <t xml:space="preserve">Maschinelles Lernen mit Python</t>
  </si>
  <si>
    <t xml:space="preserve">Huschens, Martin, Herr Prof. Dr. (Prof) - 2.000 SWS;Schweim, Dirk, Herr Prof. Dr. (Prof) - 2.000 SWS</t>
  </si>
  <si>
    <t xml:space="preserve">000-23054</t>
  </si>
  <si>
    <t xml:space="preserve">Projektstudie Personalmanagement</t>
  </si>
  <si>
    <t xml:space="preserve">Rohleder, Norbert, Herr Prof. Dr. (Prof) - 4.000 SWS</t>
  </si>
  <si>
    <t xml:space="preserve">000-23058</t>
  </si>
  <si>
    <t xml:space="preserve">Principles of Behavioral Economics</t>
  </si>
  <si>
    <t xml:space="preserve">000-15017</t>
  </si>
  <si>
    <t xml:space="preserve">000-23057</t>
  </si>
  <si>
    <t xml:space="preserve">Purchasing &amp; Supply Management</t>
  </si>
  <si>
    <t xml:space="preserve">keine Klausur (letzte am 16.01.2026)</t>
  </si>
  <si>
    <t xml:space="preserve">Prompt Engineering for Managers</t>
  </si>
  <si>
    <t xml:space="preserve">Wunder, Andreas, Herr (Ass) - 1.000 SWS;Au, Christian, Herr Prof. Dr. (Prof) - 2.000 SWS;Fränzl, Jonas, Herr (Ass) - 1.000 SWS</t>
  </si>
  <si>
    <t xml:space="preserve">000-66803</t>
  </si>
  <si>
    <t xml:space="preserve">Recht der digitalen Welt - Digitalisierung, Künstliche Intelligenz &amp; Co. in der Rechtsordnung -</t>
  </si>
  <si>
    <t xml:space="preserve">000-24021</t>
  </si>
  <si>
    <t xml:space="preserve">Recht und Gesellschaft</t>
  </si>
  <si>
    <t xml:space="preserve">Kämpf, Hanno, Herr Prof. Dr. (Prof) - 2.000 SWS;Nerenberg, Colin, Herr (LKfbA) - 2.000 SWS</t>
  </si>
  <si>
    <t xml:space="preserve">000-25057</t>
  </si>
  <si>
    <t xml:space="preserve">Social Competence, Business Etiquette and Business Ethics</t>
  </si>
  <si>
    <t xml:space="preserve">000-25041</t>
  </si>
  <si>
    <t xml:space="preserve">Sozial- und Gesundheitswirtschaft (Präsenz)</t>
  </si>
  <si>
    <t xml:space="preserve">Schmeck, Steffi, Frau (Bed) - 1.000 SWS;Reiss, Hans-Christoph, Herr Prof. Dr. (Prof) - 3.000 SWS</t>
  </si>
  <si>
    <t xml:space="preserve">Sozial- und Gesundheitswirtschaft (mündliche Prüfung online)</t>
  </si>
  <si>
    <t xml:space="preserve">08:15 bis ca. 14:00</t>
  </si>
  <si>
    <t xml:space="preserve">online</t>
  </si>
  <si>
    <t xml:space="preserve">000-25065</t>
  </si>
  <si>
    <t xml:space="preserve">Soziale Interaktion</t>
  </si>
  <si>
    <t xml:space="preserve">000-25050</t>
  </si>
  <si>
    <t xml:space="preserve">Steuerbilanz und IT</t>
  </si>
  <si>
    <t xml:space="preserve">000-25069</t>
  </si>
  <si>
    <t xml:space="preserve">Sustainability Reporting (50 Projektarbeit, 50% Klausur)</t>
  </si>
  <si>
    <t xml:space="preserve">18:15 - 19:15</t>
  </si>
  <si>
    <t xml:space="preserve">000-25068</t>
  </si>
  <si>
    <t xml:space="preserve">Sustainable Global Value Chains</t>
  </si>
  <si>
    <t xml:space="preserve">Bals, Lydia, Frau Prof. Dr. (Prof) - 3.000 SWS;Weyer, Kira, Frau Prof. Dr. (Prof) - 1.000 SWS</t>
  </si>
  <si>
    <t xml:space="preserve">000-27002</t>
  </si>
  <si>
    <t xml:space="preserve">Unternehmensfinanzierung</t>
  </si>
  <si>
    <t xml:space="preserve">000-27034</t>
  </si>
  <si>
    <t xml:space="preserve">Unternehmenssteuern</t>
  </si>
  <si>
    <t xml:space="preserve">000-56330</t>
  </si>
  <si>
    <t xml:space="preserve">Unternehmen als Organisationen verstehen</t>
  </si>
  <si>
    <t xml:space="preserve">000-27035</t>
  </si>
  <si>
    <t xml:space="preserve">Verkaufen statt Verhandeln - Sales Excellence</t>
  </si>
  <si>
    <t xml:space="preserve">Kaul, Oliver, Herr Prof. Dr. (Prof) - 4.000 SWS</t>
  </si>
  <si>
    <t xml:space="preserve">000-27053</t>
  </si>
  <si>
    <t xml:space="preserve">Verträge und Muster in der arbeitsrechtlichen Unternehmenspraxis</t>
  </si>
  <si>
    <t xml:space="preserve">13:15 -15:15</t>
  </si>
  <si>
    <t xml:space="preserve">Dahm, Katharina, Frau Prof. Dr. (Prof) - 2.000 SWS;Dereli, Melanie- 2.000 SWS</t>
  </si>
  <si>
    <t xml:space="preserve">000-28034</t>
  </si>
  <si>
    <t xml:space="preserve">Wirtschaftsprüfung</t>
  </si>
  <si>
    <t xml:space="preserve">000-28051</t>
  </si>
  <si>
    <t xml:space="preserve">Wirtschaftsstrafrecht und Criminal Compliance in der Unternehmenspraxis</t>
  </si>
  <si>
    <t xml:space="preserve">Neuenfeldt, Stina, Frau (LBA) - 1.000 SWS;Merschmöller, Lucas, Herr (LBA) - 3.000 SWS</t>
  </si>
  <si>
    <t xml:space="preserve">000-28003</t>
  </si>
  <si>
    <t xml:space="preserve">Wertpapiergeschäft</t>
  </si>
  <si>
    <t xml:space="preserve">13:15 - 15:15</t>
  </si>
  <si>
    <t xml:space="preserve">932-60101</t>
  </si>
  <si>
    <t xml:space="preserve">Inhalt und Beendigung des Arbeitsverhältnisses</t>
  </si>
  <si>
    <t xml:space="preserve">Dereli, Melanie, Frau (LBA) - 2.000 SWS;Dahm, Katharina, Frau Prof. Dr. (Prof) - 2.000 SWS</t>
  </si>
  <si>
    <t xml:space="preserve">932-60102</t>
  </si>
  <si>
    <t xml:space="preserve">Arbeitsschutzrecht</t>
  </si>
  <si>
    <t xml:space="preserve">Dahm, Katharina, Frau Prof. Dr. (Prof) - 4.000 SWS</t>
  </si>
  <si>
    <t xml:space="preserve">932-60103</t>
  </si>
  <si>
    <t xml:space="preserve">Betriebliche Altersversorgung, AFG, Sozialversicherungsrecht</t>
  </si>
  <si>
    <t xml:space="preserve">Gutzler, Stephan, Herr Dr. (LBA) - 2.000 SWS;Döring, René, Herr Dr. (LBA) - 2.000 SWS</t>
  </si>
  <si>
    <t xml:space="preserve">932-60104</t>
  </si>
  <si>
    <t xml:space="preserve">Kollektives Arbeitsrecht</t>
  </si>
  <si>
    <t xml:space="preserve">16:30 - 18:30</t>
  </si>
  <si>
    <t xml:space="preserve">b1.05/b1.07</t>
  </si>
  <si>
    <t xml:space="preserve">Wall, Daniel, Herr (LBA) - 2.000 SWS;Walser, Manfred, Herr Prof. Dr. (Prof) - 2.000 SWS</t>
  </si>
  <si>
    <t xml:space="preserve">932-60105</t>
  </si>
  <si>
    <t xml:space="preserve">09:30 -11:00</t>
  </si>
  <si>
    <t xml:space="preserve">Schreiber, Dominik, Herr (LBA) - 1.500 SWS;Kaufmann, Michael, Herr Prof. Dr. (Prof) - 2.500 SWS</t>
  </si>
  <si>
    <t xml:space="preserve">932-60111</t>
  </si>
  <si>
    <t xml:space="preserve">Unternehmensbericht</t>
  </si>
  <si>
    <t xml:space="preserve">Strobel, Maria, Frau Prof. Dr. (Prof) - 1.000 SWS</t>
  </si>
  <si>
    <t xml:space="preserve">932-60112</t>
  </si>
  <si>
    <t xml:space="preserve">Change Management</t>
  </si>
  <si>
    <t xml:space="preserve">Berninger, Silke, Frau (LBA) - 3.000 SWS</t>
  </si>
  <si>
    <t xml:space="preserve">932-60201</t>
  </si>
  <si>
    <t xml:space="preserve">Arbeitsrecht in der Umstrukturierung &amp; Unternehmenskrise</t>
  </si>
  <si>
    <t xml:space="preserve">30 Minuten</t>
  </si>
  <si>
    <t xml:space="preserve">932-60202</t>
  </si>
  <si>
    <t xml:space="preserve">Arbeitsstrafrecht &amp; Compliance</t>
  </si>
  <si>
    <t xml:space="preserve">Baldus, Bianca, Frau Prof. Dr. (Prof) - 1.000 SWS;Scheffczyk, Tommy, Herr (LBA) - 1.000 SWS;Nerenberg, Colin, Herr (LKfbA) - 1.000 SWS;Döscher, Marie-Christine, Frau (LBA) - 1.000 SWS</t>
  </si>
  <si>
    <t xml:space="preserve">932-60203</t>
  </si>
  <si>
    <t xml:space="preserve">Vertragsgestaltung &amp; Internationales Arbeitsrecht</t>
  </si>
  <si>
    <t xml:space="preserve">Walser, Manfred, Herr Prof. Dr. (Prof) - 4.000 SWS</t>
  </si>
  <si>
    <t xml:space="preserve">932-60204</t>
  </si>
  <si>
    <t xml:space="preserve">Gerichtlicher Rechtsschutz</t>
  </si>
  <si>
    <t xml:space="preserve">Wall, Daniel, Herr (LBA) - 4.000 SWS</t>
  </si>
  <si>
    <t xml:space="preserve">932-60205</t>
  </si>
  <si>
    <t xml:space="preserve">Performance Management</t>
  </si>
  <si>
    <t xml:space="preserve">Christ, Michael, Herr Prof. Dr. (Prof) - 4.000 SWS</t>
  </si>
  <si>
    <t xml:space="preserve">932-60211</t>
  </si>
  <si>
    <t xml:space="preserve">Konfliktmanagement &amp; Mediation</t>
  </si>
  <si>
    <t xml:space="preserve">Kracht, Jochen, Herr (LBA) - 2.000 SWS</t>
  </si>
  <si>
    <t xml:space="preserve">932-60212</t>
  </si>
  <si>
    <t xml:space="preserve">Unternehmenspraxis</t>
  </si>
  <si>
    <t xml:space="preserve">Strobel, Maria, Frau Prof. Dr. (Prof) - 2.000 SWS</t>
  </si>
  <si>
    <t xml:space="preserve">932-60322</t>
  </si>
  <si>
    <t xml:space="preserve">Praktikumsbegleitendes Examinatorium</t>
  </si>
  <si>
    <t xml:space="preserve">Dereli, Melanie, Frau (LBA) - 1.000 SWS;Dahm, Katharina, Frau Prof. Dr. (Prof) - 0.750 SWS;Walser, Manfred, Herr Prof. Dr. (Prof) - 0.750 SWS;Gutzler, Stephan, Herr Dr. (LBA) - 0.750 SWS;Döring, René, Herr Dr. (LBA) - 0.750 SWS</t>
  </si>
  <si>
    <t xml:space="preserve">996-61102</t>
  </si>
  <si>
    <t xml:space="preserve">Advanced Marketing Strategies (50% Klausur, 50% Präsentation)</t>
  </si>
  <si>
    <t xml:space="preserve">Kostyra, Daniel, Herr Prof. Dr. (Prof) - 4.000 SWS</t>
  </si>
  <si>
    <t xml:space="preserve">996-61103</t>
  </si>
  <si>
    <t xml:space="preserve">Forschungsmethoden in der BWL</t>
  </si>
  <si>
    <t xml:space="preserve">Spengler, Hannes, Herr Prof. Dr. (Prof) - 3.000 SWS;Redler, Jörn, Herr Prof. Dr. (Prof) - 1.000 SWS</t>
  </si>
  <si>
    <t xml:space="preserve">996-61104</t>
  </si>
  <si>
    <t xml:space="preserve">Human Resource Management &amp; Analytics</t>
  </si>
  <si>
    <t xml:space="preserve">996-61105</t>
  </si>
  <si>
    <t xml:space="preserve">Business Problem Solving</t>
  </si>
  <si>
    <t xml:space="preserve">Au, Christian, Herr Prof. Dr. (Prof) - 4.000 SWS</t>
  </si>
  <si>
    <t xml:space="preserve">996-61151</t>
  </si>
  <si>
    <t xml:space="preserve">Finance &amp; Accounting</t>
  </si>
  <si>
    <t xml:space="preserve">996-61202</t>
  </si>
  <si>
    <t xml:space="preserve">Supply Chain Management</t>
  </si>
  <si>
    <t xml:space="preserve">996-61203</t>
  </si>
  <si>
    <t xml:space="preserve">Managerial Economics</t>
  </si>
  <si>
    <t xml:space="preserve">996-61251</t>
  </si>
  <si>
    <t xml:space="preserve">996-61303</t>
  </si>
  <si>
    <t xml:space="preserve">Digital Ökonomie</t>
  </si>
  <si>
    <t xml:space="preserve">Ostheimer, Bernhard, Herr Prof. Dr. (Prof) - 3.200 SWS;Weitzel, Dirk, Herr Prof. Dr. (Prof) - 0.100 SWS;Mehler-Bicher, Anett, Frau Prof. Dr. (Prof) - 0.700 SWS</t>
  </si>
  <si>
    <t xml:space="preserve">996-61304</t>
  </si>
  <si>
    <t xml:space="preserve">Transformation &amp; Change Management</t>
  </si>
  <si>
    <t xml:space="preserve">Krug, David Alexander, Herr (LBA) - 2.000 SWS;Gütschow, Adeline, Frau (LBA) - 2.000 SWS</t>
  </si>
  <si>
    <t xml:space="preserve">996-61351</t>
  </si>
  <si>
    <t xml:space="preserve">Management Simulation Workshop</t>
  </si>
  <si>
    <t xml:space="preserve">Rathje, Britta, Frau Prof. Dr. (Prof) - 2.000 SWS</t>
  </si>
  <si>
    <t xml:space="preserve">996-61381</t>
  </si>
  <si>
    <t xml:space="preserve">Anwendungsorientiertes Forschungsprojekt - Marketing</t>
  </si>
  <si>
    <t xml:space="preserve">keine Klausur (Deadline 13.02.2026)</t>
  </si>
  <si>
    <t xml:space="preserve">Stephan, Rebecca, Frau (Ass) - 0.700 SWS</t>
  </si>
  <si>
    <t xml:space="preserve">996-61382</t>
  </si>
  <si>
    <t xml:space="preserve">Anwendungsorientiertes Forschungsprojekt - Controlling</t>
  </si>
  <si>
    <t xml:space="preserve">Rathje, Britta, Frau Prof. Dr. (Prof) - 0.700 SWS</t>
  </si>
  <si>
    <t xml:space="preserve">996-61383</t>
  </si>
  <si>
    <t xml:space="preserve">Anwendungsorientiertes Forschungsprojekt - Human Resource Management</t>
  </si>
  <si>
    <t xml:space="preserve">Rank, Susanne, Frau Prof. Dr. (Prof) - 0.700 SWS</t>
  </si>
  <si>
    <t xml:space="preserve">996-61384</t>
  </si>
  <si>
    <t xml:space="preserve">Anwendungsorientiertes Forschungsprojekt - Supply Chain Management</t>
  </si>
  <si>
    <t xml:space="preserve">Berbner, Ulrich, Herr Prof. Dr. (Prof) - 0.700 SWS</t>
  </si>
  <si>
    <t xml:space="preserve">996-61405</t>
  </si>
  <si>
    <t xml:space="preserve">Sustainability Projekt</t>
  </si>
  <si>
    <t xml:space="preserve">Rank, Susanne, Frau Prof. Dr. (Prof) - 1.500 SWS;Klein, David, Herr (LBA) - 0.500 SWS</t>
  </si>
  <si>
    <t xml:space="preserve">996-61451</t>
  </si>
  <si>
    <t xml:space="preserve">International Management Seminar</t>
  </si>
  <si>
    <t xml:space="preserve">52480, 60380, 60480</t>
  </si>
  <si>
    <t xml:space="preserve">Ostheimer, Bernhard, Herr Prof. Dr. (Prof) - 2.000 SWS</t>
  </si>
  <si>
    <t xml:space="preserve">000-52333</t>
  </si>
  <si>
    <t xml:space="preserve">Controlling und Consulting</t>
  </si>
  <si>
    <t xml:space="preserve">Fischbach, Sven, Herr Prof. Dr. (Prof) - 2.000 SWS;Rathje, Britta, Frau Prof. Dr. (Prof) - 2.000 SWS</t>
  </si>
  <si>
    <t xml:space="preserve">000-52735</t>
  </si>
  <si>
    <t xml:space="preserve">Digitale Logistik und Supply Chain Management</t>
  </si>
  <si>
    <t xml:space="preserve">000-56392</t>
  </si>
  <si>
    <t xml:space="preserve">Brand Management (70 Minuten Präsenzprüfung)</t>
  </si>
  <si>
    <t xml:space="preserve">13:45 - 14:55</t>
  </si>
  <si>
    <t xml:space="preserve">000-56733</t>
  </si>
  <si>
    <t xml:space="preserve">Leadership and HRM in International Companies</t>
  </si>
  <si>
    <t xml:space="preserve">000-56337</t>
  </si>
  <si>
    <t xml:space="preserve">000-52372</t>
  </si>
  <si>
    <t xml:space="preserve">Advanced Digital Marketing</t>
  </si>
  <si>
    <t xml:space="preserve">000-52731</t>
  </si>
  <si>
    <t xml:space="preserve">Mergers &amp; Acqisitions</t>
  </si>
  <si>
    <t xml:space="preserve">Hehn, Markus, Herr Prof. Dr. (Prof) - 3.000 SWS;Lorenz, Karsten, Herr Prof. Dr. (Prof) - 1.000 SWS</t>
  </si>
  <si>
    <t xml:space="preserve">000-52732</t>
  </si>
  <si>
    <t xml:space="preserve">Strategisches HRM Projekt</t>
  </si>
  <si>
    <t xml:space="preserve">Rank, Susanne, Frau Prof. Dr. (Prof) - 1.000 SWS;Rohleder, Norbert, Herr Prof. Dr. (Prof) - 3.000 SWS</t>
  </si>
  <si>
    <t xml:space="preserve">000-56734</t>
  </si>
  <si>
    <t xml:space="preserve">Sustainable Procurement</t>
  </si>
  <si>
    <t xml:space="preserve">964M-205-PE</t>
  </si>
  <si>
    <t xml:space="preserve">Business Research </t>
  </si>
  <si>
    <t xml:space="preserve">60153, 52103</t>
  </si>
  <si>
    <t xml:space="preserve">keine Klausur (Abgabe Hausarbeit: 15.01.2026)</t>
  </si>
  <si>
    <t xml:space="preserve">Porath, Daniel, Herr Prof. Dr. (Prof) - 2.000 SWS;Dr. Dilipchandra Seetharam (LB)  - 2.000 SWS</t>
  </si>
  <si>
    <t xml:space="preserve">B09-60153</t>
  </si>
  <si>
    <t xml:space="preserve">Business Research</t>
  </si>
  <si>
    <t xml:space="preserve">964-60153</t>
  </si>
  <si>
    <t xml:space="preserve">964M-101-PE (A)</t>
  </si>
  <si>
    <t xml:space="preserve">Sustainable International Economics</t>
  </si>
  <si>
    <t xml:space="preserve">60155, 52105</t>
  </si>
  <si>
    <t xml:space="preserve">c-1.11</t>
  </si>
  <si>
    <t xml:space="preserve">Bartels, Bernhard, Herr Prof. Dr. (Prof) - 2.000 SWS</t>
  </si>
  <si>
    <t xml:space="preserve">964M-101-PE (B)</t>
  </si>
  <si>
    <t xml:space="preserve">c-1.13</t>
  </si>
  <si>
    <t xml:space="preserve">964-60155</t>
  </si>
  <si>
    <t xml:space="preserve">International Business Environment</t>
  </si>
  <si>
    <t xml:space="preserve">F39M-102-PE</t>
  </si>
  <si>
    <t xml:space="preserve">Accounting and Management Control</t>
  </si>
  <si>
    <t xml:space="preserve">60154, 52104</t>
  </si>
  <si>
    <t xml:space="preserve">B09-60154</t>
  </si>
  <si>
    <t xml:space="preserve">964M-103-PE</t>
  </si>
  <si>
    <t xml:space="preserve">Quantitative Analytical Methods</t>
  </si>
  <si>
    <t xml:space="preserve">60152, 52102</t>
  </si>
  <si>
    <t xml:space="preserve">13:45 - 15:45 </t>
  </si>
  <si>
    <t xml:space="preserve">964-60152</t>
  </si>
  <si>
    <t xml:space="preserve">B09-60152</t>
  </si>
  <si>
    <t xml:space="preserve">F39M-103-PE</t>
  </si>
  <si>
    <t xml:space="preserve">964M-104-PE</t>
  </si>
  <si>
    <t xml:space="preserve">Financial Reporting</t>
  </si>
  <si>
    <t xml:space="preserve">52104, 60154</t>
  </si>
  <si>
    <t xml:space="preserve">Lorenz, Karsten, Herr Prof. Dr. (Prof) - 6.000 SWS</t>
  </si>
  <si>
    <t xml:space="preserve">964M-102-PE</t>
  </si>
  <si>
    <t xml:space="preserve">Leadership and Human Resource Management</t>
  </si>
  <si>
    <t xml:space="preserve">60151, 52101</t>
  </si>
  <si>
    <t xml:space="preserve">Christ, Michael, Herr Prof. Dr. (Prof) - 2.000 SWS</t>
  </si>
  <si>
    <t xml:space="preserve">Rank, Susanne, Frau Prof. Dr. (Prof) - 2.000 SWS</t>
  </si>
  <si>
    <t xml:space="preserve">B09-60355</t>
  </si>
  <si>
    <t xml:space="preserve">F39M-101-PE</t>
  </si>
  <si>
    <t xml:space="preserve">Corporate Finance and Investment</t>
  </si>
  <si>
    <t xml:space="preserve">B09-60151</t>
  </si>
  <si>
    <t xml:space="preserve">Wittstock, Anja, Frau Prof. Dr. (Prof) - 2.000 SWS</t>
  </si>
  <si>
    <t xml:space="preserve">F39M-106-PS</t>
  </si>
  <si>
    <t xml:space="preserve">Castellano y Cultura Argentina B1.2</t>
  </si>
  <si>
    <t xml:space="preserve">B09-60182, 001-901225</t>
  </si>
  <si>
    <t xml:space="preserve">964M-105-PE</t>
  </si>
  <si>
    <t xml:space="preserve">International Marketing</t>
  </si>
  <si>
    <t xml:space="preserve">B09-60253, 964-60253</t>
  </si>
  <si>
    <t xml:space="preserve">964-60253</t>
  </si>
  <si>
    <t xml:space="preserve">F39M-105-PE</t>
  </si>
  <si>
    <t xml:space="preserve">964M-106-PE</t>
  </si>
  <si>
    <t xml:space="preserve">B09-60254, 964-60254</t>
  </si>
  <si>
    <t xml:space="preserve">Reich, Anke, Frau Prof. Dr. (Prof) - 2.000 SWS</t>
  </si>
  <si>
    <t xml:space="preserve">964-60254</t>
  </si>
  <si>
    <t xml:space="preserve">F39M-104-PE</t>
  </si>
  <si>
    <t xml:space="preserve">964-60251</t>
  </si>
  <si>
    <t xml:space="preserve">C3.06</t>
  </si>
  <si>
    <t xml:space="preserve">Schrank, Randolf, Herr Prof. Dr. (Prof) - 3.000 SWS;Rete, Oscar Miguel, Herr (LBA) - 1.000 SWS</t>
  </si>
  <si>
    <t xml:space="preserve">B09-60251</t>
  </si>
  <si>
    <t xml:space="preserve">964-60252</t>
  </si>
  <si>
    <t xml:space="preserve">International Corporate Finance</t>
  </si>
  <si>
    <t xml:space="preserve">B09-60252</t>
  </si>
  <si>
    <t xml:space="preserve">B09-60255</t>
  </si>
  <si>
    <t xml:space="preserve">World Economics: Current Issues</t>
  </si>
  <si>
    <t xml:space="preserve">Schüle, Ulrich, Herr Prof. Dr. (Prof) - 1.000 SWS;Sterbova, Ludmilla, Frau (LBA) - 1.000 SWS</t>
  </si>
  <si>
    <t xml:space="preserve">B09-60281</t>
  </si>
  <si>
    <t xml:space="preserve">Castellano y Cultura Argentina B2</t>
  </si>
  <si>
    <t xml:space="preserve">F43M-301</t>
  </si>
  <si>
    <t xml:space="preserve">International Business (Präsentationen)</t>
  </si>
  <si>
    <t xml:space="preserve">B09-60354</t>
  </si>
  <si>
    <t xml:space="preserve">Stéphane Timmer , Herr Prof. Dr. (Prof.) - 2.000 SWS</t>
  </si>
  <si>
    <t xml:space="preserve">964-60380</t>
  </si>
  <si>
    <t xml:space="preserve">Applied Project</t>
  </si>
  <si>
    <t xml:space="preserve">Porath, Daniel, Herr Prof. Dr. (Prof)</t>
  </si>
  <si>
    <t xml:space="preserve">B09-60481</t>
  </si>
  <si>
    <t xml:space="preserve">B09-60351</t>
  </si>
  <si>
    <t xml:space="preserve">Business Simulation</t>
  </si>
  <si>
    <t xml:space="preserve">Rathje, Britta, Frau Prof. Dr. (Prof) - 3.000 SWS</t>
  </si>
  <si>
    <t xml:space="preserve">B09-60362</t>
  </si>
  <si>
    <t xml:space="preserve">América Latina: Historia y Economía Política</t>
  </si>
  <si>
    <t xml:space="preserve">Reynier Pérez Hernández, Herr (LKfbA) - 2.000 SWS</t>
  </si>
  <si>
    <t xml:space="preserve">F39M-111</t>
  </si>
  <si>
    <t xml:space="preserve">Germany and EU: History and political (nur argentinische Studierende)</t>
  </si>
  <si>
    <t xml:space="preserve">000-440018, B09-60352</t>
  </si>
  <si>
    <t xml:space="preserve">Castellano y Cultura Argentina B2.2</t>
  </si>
  <si>
    <t xml:space="preserve">Castellano y Cultura Argentina C1</t>
  </si>
  <si>
    <t xml:space="preserve">F43M-301-PE</t>
  </si>
  <si>
    <t xml:space="preserve">Strategic Management (Klausur) &amp; International Business (Präsentationen)</t>
  </si>
  <si>
    <t xml:space="preserve">B15-60303, 52303, 964-60255, B09-60354</t>
  </si>
  <si>
    <t xml:space="preserve">Timmer, Stéphane, Herr Prof. Dr. (LBA) - 2.000 SWS;Schrank, Randolf, Herr Prof. Dr. (Prof) - 4.000 SWS</t>
  </si>
  <si>
    <t xml:space="preserve">F43M-302-P</t>
  </si>
  <si>
    <t xml:space="preserve">Rechtliches Umfeld</t>
  </si>
  <si>
    <t xml:space="preserve">B15-60302</t>
  </si>
  <si>
    <t xml:space="preserve">Talmon, Alexander, Herr (LBA) - 2.500 SWS;Palli, Barbara, Frau (LBA) - 1.500 SWS</t>
  </si>
  <si>
    <t xml:space="preserve">F43M-303-P</t>
  </si>
  <si>
    <t xml:space="preserve">Projektstudien Personalmanagement</t>
  </si>
  <si>
    <t xml:space="preserve">Rohleder, Norbert, Herr Prof. Dr. (Prof) - 3.000 SWS</t>
  </si>
  <si>
    <t xml:space="preserve">F43M-304-P</t>
  </si>
  <si>
    <t xml:space="preserve">Wissenschaftliches Arbeiten</t>
  </si>
  <si>
    <t xml:space="preserve">B15-60306, 52402</t>
  </si>
  <si>
    <t xml:space="preserve">keine Klausur (31.01.2026)</t>
  </si>
  <si>
    <t xml:space="preserve">Schrank, Randolf, Herr Prof. Dr. (Prof) - 1.000 SWS;Fränzl, Jonas, Herr (Ass) - 0.500 SWS;Ewert-Kling, Karin, Frau Dr. (Ass) - 1.500 SWS</t>
  </si>
  <si>
    <t xml:space="preserve">F43M-305-PF</t>
  </si>
  <si>
    <t xml:space="preserve">Corporate Sustainability</t>
  </si>
  <si>
    <t xml:space="preserve">Barthel, Patrick, Herr (LBA) - 2.000 SWS</t>
  </si>
  <si>
    <t xml:space="preserve">F43M-306-P</t>
  </si>
  <si>
    <t xml:space="preserve">Digitales Marketing &amp; Kommunikationsmanagement</t>
  </si>
  <si>
    <t xml:space="preserve">keine Klausur (letzte Abgabe 15.01.2026)</t>
  </si>
  <si>
    <t xml:space="preserve">B15-60304</t>
  </si>
  <si>
    <t xml:space="preserve">Finanzen und Controlling</t>
  </si>
  <si>
    <t xml:space="preserve">Prüfung findet in Metz statt. Mit dem Prüfer abstimmen.</t>
  </si>
  <si>
    <t xml:space="preserve">Prof. Barthel und Prof. Dr. Schrank</t>
  </si>
  <si>
    <t xml:space="preserve">B15-60401</t>
  </si>
  <si>
    <t xml:space="preserve">Internationale Wirtschaft im deutsch-französischen Rahmen</t>
  </si>
  <si>
    <t xml:space="preserve">Schrank, Randolf, Herr Prof. Dr. (Prof) - 3.000 SWS</t>
  </si>
  <si>
    <t xml:space="preserve">A23-60106</t>
  </si>
  <si>
    <t xml:space="preserve">Unternehmensprojekt Personalmanagement</t>
  </si>
  <si>
    <t xml:space="preserve">Person, Kopie, Frau (ADMIN) - SWS</t>
  </si>
  <si>
    <t xml:space="preserve">A23-70102</t>
  </si>
  <si>
    <t xml:space="preserve">Rohleder, Norbert, Herr Prof. Dr. (Prof) - 2.500 SWS;Sieweke, Laura, Frau (LBA) - 0.500 SWS</t>
  </si>
  <si>
    <t xml:space="preserve">A23-70103</t>
  </si>
  <si>
    <t xml:space="preserve">A23-70104</t>
  </si>
  <si>
    <t xml:space="preserve">Rechtliche Rahmenbedingungen unternehmerischer Entscheidungen</t>
  </si>
  <si>
    <t xml:space="preserve">Meißner, Martin, Herr Prof. Dr. (Prof) - 4.000 SWS</t>
  </si>
  <si>
    <t xml:space="preserve">A23-70111</t>
  </si>
  <si>
    <t xml:space="preserve">Grundlagen der BWL &amp; Planspiel (60 Minuten)</t>
  </si>
  <si>
    <t xml:space="preserve">60111, 70111 und 60112, 70112 eine Prüfung zusammen</t>
  </si>
  <si>
    <t xml:space="preserve">13:45 - 14:45</t>
  </si>
  <si>
    <t xml:space="preserve">Wunder, Andreas, Herr (Ass) - 0.500 SWS;Sickmüller, Pia, Frau (LBA) - 1.500 SWS</t>
  </si>
  <si>
    <t xml:space="preserve">A23-70112</t>
  </si>
  <si>
    <t xml:space="preserve">Accounting (30 Minuten)</t>
  </si>
  <si>
    <t xml:space="preserve">14:45 - 15:15</t>
  </si>
  <si>
    <t xml:space="preserve">Lorenz, Karsten, Herr Prof. Dr. (Prof) - 1.000 SWS</t>
  </si>
  <si>
    <t xml:space="preserve">A23-70155</t>
  </si>
  <si>
    <t xml:space="preserve">Economic Framework for Entrepreneurial Decisions</t>
  </si>
  <si>
    <t xml:space="preserve">A23-60207</t>
  </si>
  <si>
    <t xml:space="preserve">Unternehmensprojekt Marketing</t>
  </si>
  <si>
    <t xml:space="preserve">Redler, Jörn, Herr Prof. Dr. (Prof) - 0.500 SWS</t>
  </si>
  <si>
    <t xml:space="preserve">Redler, Jörn, Herr Prof. Dr. (Prof) - 1.000 SWS</t>
  </si>
  <si>
    <t xml:space="preserve">A23-70201</t>
  </si>
  <si>
    <t xml:space="preserve">A23-70202</t>
  </si>
  <si>
    <t xml:space="preserve">Forschungsmethoden der BWL</t>
  </si>
  <si>
    <t xml:space="preserve">60202, 52205</t>
  </si>
  <si>
    <t xml:space="preserve">Höllen, Max, Herr (LBA) - 1.000 SWS;Schlütter, Sebastian, Herr Prof. Dr. (Prof) - 3.000 SWS</t>
  </si>
  <si>
    <t xml:space="preserve">A23-70203</t>
  </si>
  <si>
    <t xml:space="preserve">Redler, Jörn, Herr Prof. Dr. (Prof) - 3.000 SWS</t>
  </si>
  <si>
    <t xml:space="preserve">A23-70204</t>
  </si>
  <si>
    <t xml:space="preserve">Rechnungslegung</t>
  </si>
  <si>
    <t xml:space="preserve">09:30 - 11:30 </t>
  </si>
  <si>
    <t xml:space="preserve">Lorenz, Karsten, Herr Prof. Dr. (Prof) - 2.000 SWS</t>
  </si>
  <si>
    <t xml:space="preserve">A23-70256</t>
  </si>
  <si>
    <t xml:space="preserve">Berbner, Ulrich, Herr Prof. Dr. (Prof) - 3.000 SWS</t>
  </si>
  <si>
    <t xml:space="preserve">A23-70205</t>
  </si>
  <si>
    <t xml:space="preserve">Kowalczyk, Martin, Herr Prof. Dr. (Prof) - 2.000 SWS</t>
  </si>
  <si>
    <t xml:space="preserve">A23-70301</t>
  </si>
  <si>
    <t xml:space="preserve">Unternehmensplanspiel (Blockwo. vor Sem.beginn)</t>
  </si>
  <si>
    <t xml:space="preserve">60301, 52304</t>
  </si>
  <si>
    <t xml:space="preserve">Fischbach, Sven, Herr Prof. Dr. (Prof) - 3.000 SWS</t>
  </si>
  <si>
    <t xml:space="preserve">A23-70302</t>
  </si>
  <si>
    <t xml:space="preserve">Entwicklung von Führungskompetenz</t>
  </si>
  <si>
    <t xml:space="preserve">60302, 52302</t>
  </si>
  <si>
    <t xml:space="preserve">Macharowsky, Thilo, Herr (LBA) - 2.000 SWS;Nickolaus, Natascha, Frau (LBA) - 2.000 SWS</t>
  </si>
  <si>
    <t xml:space="preserve">A23-70307</t>
  </si>
  <si>
    <t xml:space="preserve">Digital Business &amp; Transformation</t>
  </si>
  <si>
    <t xml:space="preserve">keine Klausur (fnal 15.01.2026)</t>
  </si>
  <si>
    <t xml:space="preserve">Mehler-Bicher, Anett, Frau Prof. Dr. (Prof) - 0.400 SWS;Ostheimer, Bernhard, Herr Prof. Dr. (Prof) - 0.400 SWS;Loomans, Dirk, Herr Prof. Dr. (LBA) - 3.200 SWS</t>
  </si>
  <si>
    <t xml:space="preserve">A23-70305</t>
  </si>
  <si>
    <t xml:space="preserve">Controlling</t>
  </si>
  <si>
    <t xml:space="preserve">60305, 52305</t>
  </si>
  <si>
    <t xml:space="preserve">11:30 - 13:30</t>
  </si>
  <si>
    <t xml:space="preserve">A23-60306</t>
  </si>
  <si>
    <t xml:space="preserve">Unternehmensprojekt Controlling</t>
  </si>
  <si>
    <t xml:space="preserve">Fischbach, Sven, Herr Prof. Dr. (Prof) - 1.000 SWS</t>
  </si>
  <si>
    <t xml:space="preserve">A23-70353</t>
  </si>
  <si>
    <t xml:space="preserve">60353, 52301</t>
  </si>
  <si>
    <t xml:space="preserve">Rosinus, Anna, Frau Prof. Dr. (Prof) - 3.000 SWS;Offermanns, Christopher, Herr (LBA) - 1.000 SWS</t>
  </si>
  <si>
    <t xml:space="preserve">A23-60480</t>
  </si>
  <si>
    <t xml:space="preserve">Wissenschaftliches Arbeiten in der Praxis</t>
  </si>
  <si>
    <t xml:space="preserve">keine Klausur (finale Abgabe 18.01.2026)</t>
  </si>
  <si>
    <t xml:space="preserve">Kemmeter, Sascha, Herr Prof. Dr. (Prof) - 2.000 SWS</t>
  </si>
  <si>
    <t xml:space="preserve">A23-60481</t>
  </si>
  <si>
    <t xml:space="preserve">Internationale Exkursion und Management Seminar</t>
  </si>
  <si>
    <t xml:space="preserve">Rohleder, Norbert, Herr Prof. Dr. (Prof) - 2.000 SWS</t>
  </si>
  <si>
    <t xml:space="preserve">Tag</t>
  </si>
  <si>
    <t xml:space="preserve">Datum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</si>
</sst>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\ %"/>
    <numFmt numFmtId="167" formatCode="hh:mm"/>
    <numFmt numFmtId="168" formatCode="dd/mm/yy;@"/>
    <numFmt numFmtId="169" formatCode="0.00\ %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"/>
        <bgColor rgb="FFD0CEC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/>
      <right/>
      <top style="thin">
        <color theme="1"/>
      </top>
      <bottom style="thin">
        <color theme="1"/>
      </bottom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9C9C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N104857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4.25" zeroHeight="false" outlineLevelRow="0" outlineLevelCol="0"/>
  <cols>
    <col collapsed="false" customWidth="true" hidden="false" outlineLevel="0" max="1" min="1" style="1" width="10.67"/>
    <col collapsed="false" customWidth="true" hidden="false" outlineLevel="0" max="2" min="2" style="1" width="50"/>
    <col collapsed="false" customWidth="true" hidden="false" outlineLevel="0" max="3" min="3" style="1" width="56.37"/>
    <col collapsed="false" customWidth="true" hidden="false" outlineLevel="0" max="4" min="4" style="1" width="16.11"/>
    <col collapsed="false" customWidth="true" hidden="false" outlineLevel="0" max="5" min="5" style="1" width="12.11"/>
    <col collapsed="false" customWidth="true" hidden="false" outlineLevel="0" max="6" min="6" style="1" width="14.67"/>
    <col collapsed="false" customWidth="true" hidden="false" outlineLevel="0" max="7" min="7" style="1" width="14.34"/>
    <col collapsed="false" customWidth="true" hidden="false" outlineLevel="0" max="8" min="8" style="2" width="15.89"/>
    <col collapsed="false" customWidth="true" hidden="false" outlineLevel="0" max="9" min="9" style="2" width="14.34"/>
    <col collapsed="false" customWidth="true" hidden="false" outlineLevel="0" max="10" min="10" style="2" width="22.67"/>
    <col collapsed="false" customWidth="true" hidden="false" outlineLevel="0" max="11" min="11" style="1" width="62.67"/>
    <col collapsed="false" customWidth="false" hidden="false" outlineLevel="0" max="16384" min="12" style="1" width="11.45"/>
  </cols>
  <sheetData>
    <row r="1" customFormat="false" ht="58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12</v>
      </c>
      <c r="C2" s="6" t="s">
        <v>13</v>
      </c>
      <c r="D2" s="7" t="s">
        <v>14</v>
      </c>
      <c r="E2" s="7" t="n">
        <f aca="false">54+2</f>
        <v>56</v>
      </c>
      <c r="F2" s="7"/>
      <c r="G2" s="6" t="s">
        <v>15</v>
      </c>
      <c r="H2" s="8" t="n">
        <f aca="false">VLOOKUP(G2,Klausurtage!$A$2:$B$15,2,FALSE())</f>
        <v>46041</v>
      </c>
      <c r="I2" s="8" t="s">
        <v>16</v>
      </c>
      <c r="J2" s="8" t="s">
        <v>17</v>
      </c>
      <c r="K2" s="9" t="s">
        <v>18</v>
      </c>
    </row>
    <row r="3" customFormat="false" ht="14.25" hidden="false" customHeight="false" outlineLevel="0" collapsed="false">
      <c r="A3" s="6" t="s">
        <v>11</v>
      </c>
      <c r="B3" s="6" t="s">
        <v>19</v>
      </c>
      <c r="C3" s="6" t="s">
        <v>13</v>
      </c>
      <c r="D3" s="7"/>
      <c r="E3" s="7" t="n">
        <f aca="false">46+1</f>
        <v>47</v>
      </c>
      <c r="F3" s="7"/>
      <c r="G3" s="6" t="s">
        <v>15</v>
      </c>
      <c r="H3" s="8" t="n">
        <f aca="false">VLOOKUP(G3,Klausurtage!$A$2:$B$15,2,FALSE())</f>
        <v>46041</v>
      </c>
      <c r="I3" s="8" t="s">
        <v>16</v>
      </c>
      <c r="J3" s="8" t="s">
        <v>17</v>
      </c>
      <c r="K3" s="9" t="s">
        <v>20</v>
      </c>
    </row>
    <row r="4" customFormat="false" ht="26.85" hidden="false" customHeight="false" outlineLevel="0" collapsed="false">
      <c r="A4" s="6" t="s">
        <v>11</v>
      </c>
      <c r="B4" s="6" t="s">
        <v>21</v>
      </c>
      <c r="C4" s="6" t="s">
        <v>13</v>
      </c>
      <c r="D4" s="7"/>
      <c r="E4" s="7" t="n">
        <f aca="false">46</f>
        <v>46</v>
      </c>
      <c r="F4" s="7"/>
      <c r="G4" s="6" t="s">
        <v>15</v>
      </c>
      <c r="H4" s="8" t="n">
        <f aca="false">VLOOKUP(G4,Klausurtage!$A$2:$B$15,2,FALSE())</f>
        <v>46041</v>
      </c>
      <c r="I4" s="8" t="s">
        <v>16</v>
      </c>
      <c r="J4" s="8" t="s">
        <v>22</v>
      </c>
      <c r="K4" s="9" t="s">
        <v>23</v>
      </c>
    </row>
    <row r="5" customFormat="false" ht="14.25" hidden="false" customHeight="false" outlineLevel="0" collapsed="false">
      <c r="A5" s="6" t="s">
        <v>11</v>
      </c>
      <c r="B5" s="6" t="s">
        <v>24</v>
      </c>
      <c r="C5" s="6" t="s">
        <v>25</v>
      </c>
      <c r="D5" s="7" t="s">
        <v>26</v>
      </c>
      <c r="E5" s="7" t="n">
        <f aca="false">39</f>
        <v>39</v>
      </c>
      <c r="F5" s="7"/>
      <c r="G5" s="6" t="s">
        <v>27</v>
      </c>
      <c r="H5" s="8" t="n">
        <f aca="false">VLOOKUP(G5,Klausurtage!$A$2:$B$15,2,FALSE())</f>
        <v>46048</v>
      </c>
      <c r="I5" s="8" t="s">
        <v>28</v>
      </c>
      <c r="J5" s="8" t="s">
        <v>17</v>
      </c>
      <c r="K5" s="9" t="s">
        <v>29</v>
      </c>
    </row>
    <row r="6" customFormat="false" ht="14.25" hidden="false" customHeight="false" outlineLevel="0" collapsed="false">
      <c r="A6" s="6" t="s">
        <v>11</v>
      </c>
      <c r="B6" s="6" t="s">
        <v>30</v>
      </c>
      <c r="C6" s="6" t="s">
        <v>25</v>
      </c>
      <c r="D6" s="7"/>
      <c r="E6" s="6" t="n">
        <f aca="false">34</f>
        <v>34</v>
      </c>
      <c r="F6" s="6"/>
      <c r="G6" s="6" t="s">
        <v>27</v>
      </c>
      <c r="H6" s="8" t="n">
        <f aca="false">VLOOKUP(G6,Klausurtage!$A$2:$B$15,2,FALSE())</f>
        <v>46048</v>
      </c>
      <c r="I6" s="8" t="s">
        <v>28</v>
      </c>
      <c r="J6" s="8" t="s">
        <v>17</v>
      </c>
      <c r="K6" s="9" t="s">
        <v>31</v>
      </c>
    </row>
    <row r="7" customFormat="false" ht="14.25" hidden="false" customHeight="false" outlineLevel="0" collapsed="false">
      <c r="A7" s="6" t="s">
        <v>11</v>
      </c>
      <c r="B7" s="6" t="s">
        <v>32</v>
      </c>
      <c r="C7" s="6" t="s">
        <v>25</v>
      </c>
      <c r="D7" s="7"/>
      <c r="E7" s="6" t="n">
        <f aca="false">44</f>
        <v>44</v>
      </c>
      <c r="F7" s="6"/>
      <c r="G7" s="6" t="s">
        <v>27</v>
      </c>
      <c r="H7" s="8" t="n">
        <f aca="false">VLOOKUP(G7,Klausurtage!$A$2:$B$15,2,FALSE())</f>
        <v>46048</v>
      </c>
      <c r="I7" s="8" t="s">
        <v>28</v>
      </c>
      <c r="J7" s="8" t="s">
        <v>17</v>
      </c>
      <c r="K7" s="9" t="s">
        <v>31</v>
      </c>
    </row>
    <row r="8" customFormat="false" ht="14.25" hidden="false" customHeight="false" outlineLevel="0" collapsed="false">
      <c r="A8" s="6" t="s">
        <v>11</v>
      </c>
      <c r="B8" s="6" t="s">
        <v>33</v>
      </c>
      <c r="C8" s="6" t="s">
        <v>34</v>
      </c>
      <c r="D8" s="7"/>
      <c r="E8" s="6" t="n">
        <f aca="false">61+4</f>
        <v>65</v>
      </c>
      <c r="F8" s="6"/>
      <c r="G8" s="6" t="s">
        <v>27</v>
      </c>
      <c r="H8" s="8" t="n">
        <f aca="false">VLOOKUP(G8,Klausurtage!$A$2:$B$15,2,FALSE())</f>
        <v>46048</v>
      </c>
      <c r="I8" s="8" t="s">
        <v>28</v>
      </c>
      <c r="J8" s="8" t="s">
        <v>35</v>
      </c>
      <c r="K8" s="9" t="s">
        <v>36</v>
      </c>
    </row>
    <row r="9" customFormat="false" ht="26.85" hidden="false" customHeight="false" outlineLevel="0" collapsed="false">
      <c r="A9" s="6" t="s">
        <v>11</v>
      </c>
      <c r="B9" s="6" t="s">
        <v>37</v>
      </c>
      <c r="C9" s="6" t="s">
        <v>38</v>
      </c>
      <c r="D9" s="7" t="s">
        <v>39</v>
      </c>
      <c r="E9" s="7" t="n">
        <f aca="false">39</f>
        <v>39</v>
      </c>
      <c r="F9" s="7"/>
      <c r="G9" s="6" t="s">
        <v>40</v>
      </c>
      <c r="H9" s="8" t="n">
        <f aca="false">VLOOKUP(G9,Klausurtage!$A$2:$B$15,2,FALSE())</f>
        <v>46043</v>
      </c>
      <c r="I9" s="8" t="s">
        <v>16</v>
      </c>
      <c r="J9" s="8" t="s">
        <v>17</v>
      </c>
      <c r="K9" s="9" t="s">
        <v>41</v>
      </c>
    </row>
    <row r="10" customFormat="false" ht="26.85" hidden="false" customHeight="false" outlineLevel="0" collapsed="false">
      <c r="A10" s="6" t="s">
        <v>11</v>
      </c>
      <c r="B10" s="6" t="s">
        <v>42</v>
      </c>
      <c r="C10" s="6" t="s">
        <v>38</v>
      </c>
      <c r="D10" s="7"/>
      <c r="E10" s="6" t="n">
        <f aca="false">33</f>
        <v>33</v>
      </c>
      <c r="F10" s="6"/>
      <c r="G10" s="6" t="s">
        <v>40</v>
      </c>
      <c r="H10" s="8" t="n">
        <f aca="false">VLOOKUP(G10,Klausurtage!$A$2:$B$15,2,FALSE())</f>
        <v>46043</v>
      </c>
      <c r="I10" s="8" t="s">
        <v>16</v>
      </c>
      <c r="J10" s="8" t="s">
        <v>17</v>
      </c>
      <c r="K10" s="9" t="s">
        <v>43</v>
      </c>
    </row>
    <row r="11" customFormat="false" ht="26.85" hidden="false" customHeight="false" outlineLevel="0" collapsed="false">
      <c r="A11" s="6" t="s">
        <v>11</v>
      </c>
      <c r="B11" s="6" t="s">
        <v>44</v>
      </c>
      <c r="C11" s="6" t="s">
        <v>38</v>
      </c>
      <c r="D11" s="7"/>
      <c r="E11" s="6" t="n">
        <f aca="false">39</f>
        <v>39</v>
      </c>
      <c r="F11" s="6"/>
      <c r="G11" s="6" t="s">
        <v>40</v>
      </c>
      <c r="H11" s="8" t="n">
        <f aca="false">VLOOKUP(G11,Klausurtage!$A$2:$B$15,2,FALSE())</f>
        <v>46043</v>
      </c>
      <c r="I11" s="8" t="s">
        <v>16</v>
      </c>
      <c r="J11" s="8" t="s">
        <v>17</v>
      </c>
      <c r="K11" s="9" t="s">
        <v>45</v>
      </c>
    </row>
    <row r="12" customFormat="false" ht="26.85" hidden="false" customHeight="false" outlineLevel="0" collapsed="false">
      <c r="A12" s="6" t="s">
        <v>11</v>
      </c>
      <c r="B12" s="6" t="s">
        <v>46</v>
      </c>
      <c r="C12" s="6" t="s">
        <v>47</v>
      </c>
      <c r="D12" s="7"/>
      <c r="E12" s="6" t="n">
        <f aca="false">41</f>
        <v>41</v>
      </c>
      <c r="F12" s="6"/>
      <c r="G12" s="6" t="s">
        <v>40</v>
      </c>
      <c r="H12" s="8" t="n">
        <f aca="false">VLOOKUP(G12,Klausurtage!$A$2:$B$15,2,FALSE())</f>
        <v>46043</v>
      </c>
      <c r="I12" s="8" t="s">
        <v>16</v>
      </c>
      <c r="J12" s="8" t="s">
        <v>48</v>
      </c>
      <c r="K12" s="9" t="s">
        <v>49</v>
      </c>
    </row>
    <row r="13" customFormat="false" ht="14.25" hidden="false" customHeight="false" outlineLevel="0" collapsed="false">
      <c r="A13" s="6" t="s">
        <v>11</v>
      </c>
      <c r="B13" s="6" t="s">
        <v>50</v>
      </c>
      <c r="C13" s="6" t="s">
        <v>51</v>
      </c>
      <c r="D13" s="7" t="n">
        <v>2104</v>
      </c>
      <c r="E13" s="7" t="n">
        <f aca="false">32+11</f>
        <v>43</v>
      </c>
      <c r="F13" s="7"/>
      <c r="G13" s="6" t="s">
        <v>52</v>
      </c>
      <c r="H13" s="8" t="n">
        <f aca="false">VLOOKUP(G13,Klausurtage!$A$2:$B$15,2,FALSE())</f>
        <v>46045</v>
      </c>
      <c r="I13" s="8" t="s">
        <v>28</v>
      </c>
      <c r="J13" s="8" t="s">
        <v>17</v>
      </c>
      <c r="K13" s="9" t="s">
        <v>53</v>
      </c>
    </row>
    <row r="14" customFormat="false" ht="26.85" hidden="false" customHeight="false" outlineLevel="0" collapsed="false">
      <c r="A14" s="6" t="s">
        <v>11</v>
      </c>
      <c r="B14" s="6" t="s">
        <v>54</v>
      </c>
      <c r="C14" s="6" t="s">
        <v>51</v>
      </c>
      <c r="D14" s="7"/>
      <c r="E14" s="6" t="n">
        <f aca="false">34+1</f>
        <v>35</v>
      </c>
      <c r="F14" s="6"/>
      <c r="G14" s="6" t="s">
        <v>52</v>
      </c>
      <c r="H14" s="8" t="n">
        <f aca="false">VLOOKUP(G14,Klausurtage!$A$2:$B$15,2,FALSE())</f>
        <v>46045</v>
      </c>
      <c r="I14" s="8" t="s">
        <v>28</v>
      </c>
      <c r="J14" s="8" t="s">
        <v>17</v>
      </c>
      <c r="K14" s="9" t="s">
        <v>55</v>
      </c>
    </row>
    <row r="15" customFormat="false" ht="14.25" hidden="false" customHeight="false" outlineLevel="0" collapsed="false">
      <c r="A15" s="6" t="s">
        <v>11</v>
      </c>
      <c r="B15" s="6" t="s">
        <v>56</v>
      </c>
      <c r="C15" s="6" t="s">
        <v>51</v>
      </c>
      <c r="D15" s="7"/>
      <c r="E15" s="6" t="n">
        <f aca="false">42</f>
        <v>42</v>
      </c>
      <c r="F15" s="6"/>
      <c r="G15" s="6" t="s">
        <v>52</v>
      </c>
      <c r="H15" s="8" t="n">
        <f aca="false">VLOOKUP(G15,Klausurtage!$A$2:$B$15,2,FALSE())</f>
        <v>46045</v>
      </c>
      <c r="I15" s="8" t="s">
        <v>28</v>
      </c>
      <c r="J15" s="8" t="s">
        <v>57</v>
      </c>
      <c r="K15" s="6" t="s">
        <v>58</v>
      </c>
    </row>
    <row r="16" customFormat="false" ht="14.25" hidden="false" customHeight="false" outlineLevel="0" collapsed="false">
      <c r="A16" s="6" t="s">
        <v>11</v>
      </c>
      <c r="B16" s="6" t="s">
        <v>59</v>
      </c>
      <c r="C16" s="6" t="s">
        <v>60</v>
      </c>
      <c r="D16" s="7"/>
      <c r="E16" s="6" t="n">
        <f aca="false">1+34</f>
        <v>35</v>
      </c>
      <c r="F16" s="6"/>
      <c r="G16" s="6" t="s">
        <v>52</v>
      </c>
      <c r="H16" s="8" t="n">
        <f aca="false">VLOOKUP(G16,Klausurtage!$A$2:$B$15,2,FALSE())</f>
        <v>46045</v>
      </c>
      <c r="I16" s="8" t="s">
        <v>28</v>
      </c>
      <c r="J16" s="8" t="s">
        <v>61</v>
      </c>
      <c r="K16" s="6" t="s">
        <v>58</v>
      </c>
    </row>
    <row r="17" customFormat="false" ht="14.25" hidden="false" customHeight="false" outlineLevel="0" collapsed="false">
      <c r="A17" s="6" t="s">
        <v>11</v>
      </c>
      <c r="B17" s="6" t="s">
        <v>62</v>
      </c>
      <c r="C17" s="6" t="s">
        <v>63</v>
      </c>
      <c r="D17" s="7" t="s">
        <v>64</v>
      </c>
      <c r="E17" s="6" t="n">
        <f aca="false">146+3+5</f>
        <v>154</v>
      </c>
      <c r="F17" s="6"/>
      <c r="G17" s="6" t="s">
        <v>65</v>
      </c>
      <c r="H17" s="8" t="n">
        <f aca="false">VLOOKUP(G17,Klausurtage!$A$2:$B$15,2,FALSE())</f>
        <v>46050</v>
      </c>
      <c r="I17" s="8" t="s">
        <v>28</v>
      </c>
      <c r="J17" s="8" t="s">
        <v>66</v>
      </c>
      <c r="K17" s="6" t="s">
        <v>67</v>
      </c>
    </row>
    <row r="18" customFormat="false" ht="14.25" hidden="false" customHeight="false" outlineLevel="0" collapsed="false">
      <c r="A18" s="6" t="s">
        <v>11</v>
      </c>
      <c r="B18" s="6" t="s">
        <v>68</v>
      </c>
      <c r="C18" s="6" t="s">
        <v>63</v>
      </c>
      <c r="D18" s="7"/>
      <c r="E18" s="10" t="s">
        <v>69</v>
      </c>
      <c r="F18" s="6"/>
      <c r="G18" s="6" t="s">
        <v>65</v>
      </c>
      <c r="H18" s="8" t="n">
        <f aca="false">VLOOKUP(G18,Klausurtage!$A$2:$B$15,2,FALSE())</f>
        <v>46050</v>
      </c>
      <c r="I18" s="8" t="s">
        <v>28</v>
      </c>
      <c r="J18" s="8" t="s">
        <v>69</v>
      </c>
      <c r="K18" s="6" t="s">
        <v>70</v>
      </c>
    </row>
    <row r="19" customFormat="false" ht="14.25" hidden="false" customHeight="false" outlineLevel="0" collapsed="false">
      <c r="A19" s="6" t="s">
        <v>11</v>
      </c>
      <c r="B19" s="6" t="s">
        <v>71</v>
      </c>
      <c r="C19" s="6" t="s">
        <v>63</v>
      </c>
      <c r="D19" s="7"/>
      <c r="E19" s="11" t="s">
        <v>69</v>
      </c>
      <c r="F19" s="6"/>
      <c r="G19" s="6" t="s">
        <v>65</v>
      </c>
      <c r="H19" s="8" t="n">
        <f aca="false">VLOOKUP(G19,Klausurtage!$A$2:$B$15,2,FALSE())</f>
        <v>46050</v>
      </c>
      <c r="I19" s="8" t="s">
        <v>28</v>
      </c>
      <c r="J19" s="8" t="s">
        <v>69</v>
      </c>
      <c r="K19" s="6" t="s">
        <v>72</v>
      </c>
    </row>
    <row r="20" customFormat="false" ht="14.25" hidden="false" customHeight="false" outlineLevel="0" collapsed="false">
      <c r="A20" s="6" t="s">
        <v>11</v>
      </c>
      <c r="B20" s="6" t="s">
        <v>73</v>
      </c>
      <c r="C20" s="6" t="s">
        <v>63</v>
      </c>
      <c r="D20" s="7"/>
      <c r="E20" s="10" t="s">
        <v>69</v>
      </c>
      <c r="F20" s="6"/>
      <c r="G20" s="6" t="s">
        <v>65</v>
      </c>
      <c r="H20" s="8" t="n">
        <f aca="false">VLOOKUP(G20,Klausurtage!$A$2:$B$15,2,FALSE())</f>
        <v>46050</v>
      </c>
      <c r="I20" s="8" t="s">
        <v>28</v>
      </c>
      <c r="J20" s="8" t="s">
        <v>69</v>
      </c>
      <c r="K20" s="6" t="s">
        <v>74</v>
      </c>
    </row>
    <row r="21" customFormat="false" ht="14.25" hidden="false" customHeight="false" outlineLevel="0" collapsed="false">
      <c r="A21" s="6" t="s">
        <v>11</v>
      </c>
      <c r="B21" s="6" t="s">
        <v>75</v>
      </c>
      <c r="C21" s="6" t="s">
        <v>63</v>
      </c>
      <c r="D21" s="7"/>
      <c r="E21" s="11" t="s">
        <v>69</v>
      </c>
      <c r="F21" s="6"/>
      <c r="G21" s="6" t="s">
        <v>65</v>
      </c>
      <c r="H21" s="8" t="n">
        <f aca="false">VLOOKUP(G21,Klausurtage!$A$2:$B$15,2,FALSE())</f>
        <v>46050</v>
      </c>
      <c r="I21" s="8" t="s">
        <v>28</v>
      </c>
      <c r="J21" s="8"/>
      <c r="K21" s="6" t="s">
        <v>76</v>
      </c>
    </row>
    <row r="22" customFormat="false" ht="14.25" hidden="false" customHeight="false" outlineLevel="0" collapsed="false">
      <c r="A22" s="6" t="s">
        <v>11</v>
      </c>
      <c r="B22" s="6" t="s">
        <v>77</v>
      </c>
      <c r="C22" s="6" t="s">
        <v>78</v>
      </c>
      <c r="D22" s="7" t="n">
        <v>2106</v>
      </c>
      <c r="E22" s="6" t="n">
        <f aca="false">43+1</f>
        <v>44</v>
      </c>
      <c r="F22" s="6"/>
      <c r="G22" s="6" t="s">
        <v>79</v>
      </c>
      <c r="H22" s="8" t="s">
        <v>80</v>
      </c>
      <c r="I22" s="8" t="s">
        <v>80</v>
      </c>
      <c r="J22" s="8"/>
      <c r="K22" s="6" t="s">
        <v>81</v>
      </c>
    </row>
    <row r="23" customFormat="false" ht="14.25" hidden="false" customHeight="false" outlineLevel="0" collapsed="false">
      <c r="A23" s="6" t="s">
        <v>11</v>
      </c>
      <c r="B23" s="6" t="s">
        <v>82</v>
      </c>
      <c r="C23" s="6" t="s">
        <v>78</v>
      </c>
      <c r="D23" s="7"/>
      <c r="E23" s="6" t="n">
        <f aca="false">36</f>
        <v>36</v>
      </c>
      <c r="F23" s="6"/>
      <c r="G23" s="6" t="s">
        <v>79</v>
      </c>
      <c r="H23" s="8" t="s">
        <v>80</v>
      </c>
      <c r="I23" s="8" t="s">
        <v>80</v>
      </c>
      <c r="J23" s="8"/>
      <c r="K23" s="6" t="s">
        <v>83</v>
      </c>
    </row>
    <row r="24" customFormat="false" ht="14.25" hidden="false" customHeight="false" outlineLevel="0" collapsed="false">
      <c r="A24" s="12" t="s">
        <v>11</v>
      </c>
      <c r="B24" s="12" t="s">
        <v>84</v>
      </c>
      <c r="C24" s="12" t="s">
        <v>78</v>
      </c>
      <c r="D24" s="13"/>
      <c r="E24" s="12" t="n">
        <f aca="false">46</f>
        <v>46</v>
      </c>
      <c r="F24" s="12"/>
      <c r="G24" s="12" t="s">
        <v>79</v>
      </c>
      <c r="H24" s="14" t="s">
        <v>80</v>
      </c>
      <c r="I24" s="14" t="s">
        <v>80</v>
      </c>
      <c r="J24" s="14"/>
      <c r="K24" s="12" t="s">
        <v>83</v>
      </c>
    </row>
    <row r="25" customFormat="false" ht="14.25" hidden="false" customHeight="false" outlineLevel="0" collapsed="false">
      <c r="A25" s="15" t="s">
        <v>11</v>
      </c>
      <c r="B25" s="15" t="s">
        <v>85</v>
      </c>
      <c r="C25" s="15" t="s">
        <v>86</v>
      </c>
      <c r="D25" s="16" t="s">
        <v>87</v>
      </c>
      <c r="E25" s="16" t="n">
        <f aca="false">31</f>
        <v>31</v>
      </c>
      <c r="F25" s="16"/>
      <c r="G25" s="15" t="s">
        <v>88</v>
      </c>
      <c r="H25" s="17" t="n">
        <f aca="false">VLOOKUP(G25,Klausurtage!$A$2:$B$15,2,FALSE())</f>
        <v>46051</v>
      </c>
      <c r="I25" s="17" t="s">
        <v>16</v>
      </c>
      <c r="J25" s="17" t="s">
        <v>89</v>
      </c>
      <c r="K25" s="15" t="s">
        <v>90</v>
      </c>
    </row>
    <row r="26" customFormat="false" ht="14.25" hidden="false" customHeight="false" outlineLevel="0" collapsed="false">
      <c r="A26" s="6" t="s">
        <v>11</v>
      </c>
      <c r="B26" s="6" t="s">
        <v>91</v>
      </c>
      <c r="C26" s="6" t="s">
        <v>86</v>
      </c>
      <c r="D26" s="7"/>
      <c r="E26" s="6" t="n">
        <f aca="false">23</f>
        <v>23</v>
      </c>
      <c r="F26" s="6"/>
      <c r="G26" s="6" t="s">
        <v>88</v>
      </c>
      <c r="H26" s="8" t="n">
        <f aca="false">VLOOKUP(G26,Klausurtage!$A$2:$B$15,2,FALSE())</f>
        <v>46051</v>
      </c>
      <c r="I26" s="8" t="s">
        <v>16</v>
      </c>
      <c r="J26" s="8" t="s">
        <v>92</v>
      </c>
      <c r="K26" s="6" t="s">
        <v>90</v>
      </c>
    </row>
    <row r="27" customFormat="false" ht="14.25" hidden="false" customHeight="false" outlineLevel="0" collapsed="false">
      <c r="A27" s="6" t="s">
        <v>11</v>
      </c>
      <c r="B27" s="6" t="s">
        <v>93</v>
      </c>
      <c r="C27" s="6" t="s">
        <v>86</v>
      </c>
      <c r="D27" s="7"/>
      <c r="E27" s="6" t="n">
        <f aca="false">16</f>
        <v>16</v>
      </c>
      <c r="F27" s="6"/>
      <c r="G27" s="6" t="s">
        <v>88</v>
      </c>
      <c r="H27" s="8" t="n">
        <f aca="false">VLOOKUP(G27,Klausurtage!$A$2:$B$15,2,FALSE())</f>
        <v>46051</v>
      </c>
      <c r="I27" s="8" t="s">
        <v>16</v>
      </c>
      <c r="J27" s="8" t="s">
        <v>94</v>
      </c>
      <c r="K27" s="6" t="s">
        <v>90</v>
      </c>
    </row>
    <row r="28" customFormat="false" ht="14.25" hidden="false" customHeight="false" outlineLevel="0" collapsed="false">
      <c r="A28" s="6" t="s">
        <v>11</v>
      </c>
      <c r="B28" s="6" t="s">
        <v>95</v>
      </c>
      <c r="C28" s="6" t="s">
        <v>96</v>
      </c>
      <c r="D28" s="7"/>
      <c r="E28" s="6" t="n">
        <f aca="false">83+45+1+1</f>
        <v>130</v>
      </c>
      <c r="F28" s="18" t="s">
        <v>97</v>
      </c>
      <c r="G28" s="6" t="s">
        <v>88</v>
      </c>
      <c r="H28" s="8" t="n">
        <f aca="false">VLOOKUP(G28,Klausurtage!$A$2:$B$15,2,FALSE())</f>
        <v>46051</v>
      </c>
      <c r="I28" s="8" t="s">
        <v>16</v>
      </c>
      <c r="J28" s="8" t="s">
        <v>98</v>
      </c>
      <c r="K28" s="6" t="s">
        <v>99</v>
      </c>
    </row>
    <row r="29" customFormat="false" ht="14.25" hidden="false" customHeight="false" outlineLevel="0" collapsed="false">
      <c r="A29" s="6" t="s">
        <v>11</v>
      </c>
      <c r="B29" s="6" t="s">
        <v>100</v>
      </c>
      <c r="C29" s="6" t="s">
        <v>101</v>
      </c>
      <c r="D29" s="7" t="s">
        <v>102</v>
      </c>
      <c r="E29" s="7" t="n">
        <f aca="false">28</f>
        <v>28</v>
      </c>
      <c r="F29" s="7"/>
      <c r="G29" s="6" t="s">
        <v>103</v>
      </c>
      <c r="H29" s="8" t="n">
        <f aca="false">VLOOKUP(G29,Klausurtage!$A$2:$B$15,2,FALSE())</f>
        <v>46044</v>
      </c>
      <c r="I29" s="8" t="s">
        <v>28</v>
      </c>
      <c r="J29" s="8" t="s">
        <v>17</v>
      </c>
      <c r="K29" s="6" t="s">
        <v>104</v>
      </c>
    </row>
    <row r="30" customFormat="false" ht="14.25" hidden="false" customHeight="false" outlineLevel="0" collapsed="false">
      <c r="A30" s="6" t="s">
        <v>11</v>
      </c>
      <c r="B30" s="6" t="s">
        <v>105</v>
      </c>
      <c r="C30" s="6" t="s">
        <v>101</v>
      </c>
      <c r="D30" s="7"/>
      <c r="E30" s="6" t="n">
        <f aca="false">25</f>
        <v>25</v>
      </c>
      <c r="F30" s="6"/>
      <c r="G30" s="6" t="s">
        <v>103</v>
      </c>
      <c r="H30" s="8" t="n">
        <f aca="false">VLOOKUP(G30,Klausurtage!$A$2:$B$15,2,FALSE())</f>
        <v>46044</v>
      </c>
      <c r="I30" s="8" t="s">
        <v>28</v>
      </c>
      <c r="J30" s="8" t="s">
        <v>17</v>
      </c>
      <c r="K30" s="6" t="s">
        <v>106</v>
      </c>
    </row>
    <row r="31" customFormat="false" ht="14.25" hidden="false" customHeight="false" outlineLevel="0" collapsed="false">
      <c r="A31" s="6" t="s">
        <v>11</v>
      </c>
      <c r="B31" s="6" t="s">
        <v>107</v>
      </c>
      <c r="C31" s="6" t="s">
        <v>101</v>
      </c>
      <c r="D31" s="7"/>
      <c r="E31" s="6" t="n">
        <f aca="false">26</f>
        <v>26</v>
      </c>
      <c r="F31" s="6"/>
      <c r="G31" s="6" t="s">
        <v>103</v>
      </c>
      <c r="H31" s="8" t="n">
        <f aca="false">VLOOKUP(G31,Klausurtage!$A$2:$B$15,2,FALSE())</f>
        <v>46044</v>
      </c>
      <c r="I31" s="8" t="s">
        <v>28</v>
      </c>
      <c r="J31" s="8" t="s">
        <v>17</v>
      </c>
      <c r="K31" s="6" t="s">
        <v>108</v>
      </c>
    </row>
    <row r="32" customFormat="false" ht="14.25" hidden="false" customHeight="false" outlineLevel="0" collapsed="false">
      <c r="A32" s="6" t="s">
        <v>11</v>
      </c>
      <c r="B32" s="6" t="s">
        <v>109</v>
      </c>
      <c r="C32" s="6" t="s">
        <v>110</v>
      </c>
      <c r="D32" s="7"/>
      <c r="E32" s="6" t="n">
        <f aca="false">21+12</f>
        <v>33</v>
      </c>
      <c r="F32" s="6"/>
      <c r="G32" s="6" t="s">
        <v>103</v>
      </c>
      <c r="H32" s="8" t="n">
        <f aca="false">VLOOKUP(G32,Klausurtage!$A$2:$B$15,2,FALSE())</f>
        <v>46044</v>
      </c>
      <c r="I32" s="8" t="s">
        <v>28</v>
      </c>
      <c r="J32" s="8" t="s">
        <v>17</v>
      </c>
      <c r="K32" s="6" t="s">
        <v>108</v>
      </c>
    </row>
    <row r="33" customFormat="false" ht="14.25" hidden="false" customHeight="false" outlineLevel="0" collapsed="false">
      <c r="A33" s="6" t="s">
        <v>11</v>
      </c>
      <c r="B33" s="19" t="s">
        <v>111</v>
      </c>
      <c r="C33" s="19" t="s">
        <v>112</v>
      </c>
      <c r="D33" s="20" t="n">
        <v>2203</v>
      </c>
      <c r="E33" s="19" t="n">
        <f aca="false">27</f>
        <v>27</v>
      </c>
      <c r="F33" s="19"/>
      <c r="G33" s="19" t="s">
        <v>113</v>
      </c>
      <c r="H33" s="21" t="n">
        <f aca="false">VLOOKUP(G33,Klausurtage!$A$2:$B$15,2,FALSE())</f>
        <v>46049</v>
      </c>
      <c r="I33" s="21" t="s">
        <v>114</v>
      </c>
      <c r="J33" s="21" t="s">
        <v>17</v>
      </c>
      <c r="K33" s="6" t="s">
        <v>115</v>
      </c>
    </row>
    <row r="34" customFormat="false" ht="14.25" hidden="false" customHeight="false" outlineLevel="0" collapsed="false">
      <c r="A34" s="6" t="s">
        <v>11</v>
      </c>
      <c r="B34" s="19" t="s">
        <v>116</v>
      </c>
      <c r="C34" s="19" t="s">
        <v>112</v>
      </c>
      <c r="D34" s="20"/>
      <c r="E34" s="19" t="n">
        <f aca="false">26</f>
        <v>26</v>
      </c>
      <c r="F34" s="19"/>
      <c r="G34" s="19" t="s">
        <v>113</v>
      </c>
      <c r="H34" s="21" t="n">
        <f aca="false">VLOOKUP(G34,Klausurtage!$A$2:$B$15,2,FALSE())</f>
        <v>46049</v>
      </c>
      <c r="I34" s="21" t="s">
        <v>114</v>
      </c>
      <c r="J34" s="21" t="s">
        <v>17</v>
      </c>
      <c r="K34" s="6" t="s">
        <v>117</v>
      </c>
    </row>
    <row r="35" customFormat="false" ht="14.25" hidden="false" customHeight="false" outlineLevel="0" collapsed="false">
      <c r="A35" s="6" t="s">
        <v>11</v>
      </c>
      <c r="B35" s="19" t="s">
        <v>118</v>
      </c>
      <c r="C35" s="19" t="s">
        <v>112</v>
      </c>
      <c r="D35" s="20"/>
      <c r="E35" s="19" t="n">
        <f aca="false">25</f>
        <v>25</v>
      </c>
      <c r="F35" s="19"/>
      <c r="G35" s="19" t="s">
        <v>113</v>
      </c>
      <c r="H35" s="21" t="n">
        <f aca="false">VLOOKUP(G35,Klausurtage!$A$2:$B$15,2,FALSE())</f>
        <v>46049</v>
      </c>
      <c r="I35" s="21" t="s">
        <v>114</v>
      </c>
      <c r="J35" s="21" t="s">
        <v>17</v>
      </c>
      <c r="K35" s="6" t="s">
        <v>119</v>
      </c>
    </row>
    <row r="36" customFormat="false" ht="14.25" hidden="false" customHeight="false" outlineLevel="0" collapsed="false">
      <c r="A36" s="6" t="s">
        <v>11</v>
      </c>
      <c r="B36" s="19" t="s">
        <v>120</v>
      </c>
      <c r="C36" s="19" t="s">
        <v>121</v>
      </c>
      <c r="D36" s="20"/>
      <c r="E36" s="19" t="n">
        <f aca="false">39</f>
        <v>39</v>
      </c>
      <c r="F36" s="19"/>
      <c r="G36" s="19" t="s">
        <v>113</v>
      </c>
      <c r="H36" s="21" t="n">
        <f aca="false">VLOOKUP(G36,Klausurtage!$A$2:$B$15,2,FALSE())</f>
        <v>46049</v>
      </c>
      <c r="I36" s="21" t="s">
        <v>114</v>
      </c>
      <c r="J36" s="21" t="s">
        <v>17</v>
      </c>
      <c r="K36" s="6" t="s">
        <v>58</v>
      </c>
    </row>
    <row r="37" customFormat="false" ht="26.85" hidden="false" customHeight="false" outlineLevel="0" collapsed="false">
      <c r="A37" s="6" t="s">
        <v>11</v>
      </c>
      <c r="B37" s="6" t="s">
        <v>122</v>
      </c>
      <c r="C37" s="6" t="s">
        <v>123</v>
      </c>
      <c r="D37" s="7" t="s">
        <v>124</v>
      </c>
      <c r="E37" s="7" t="n">
        <f aca="false">39+2</f>
        <v>41</v>
      </c>
      <c r="F37" s="7"/>
      <c r="G37" s="6" t="s">
        <v>125</v>
      </c>
      <c r="H37" s="8" t="n">
        <f aca="false">VLOOKUP(G37,Klausurtage!$A$2:$B$15,2,FALSE())</f>
        <v>46042</v>
      </c>
      <c r="I37" s="8" t="s">
        <v>28</v>
      </c>
      <c r="J37" s="8" t="s">
        <v>17</v>
      </c>
      <c r="K37" s="9" t="s">
        <v>126</v>
      </c>
    </row>
    <row r="38" customFormat="false" ht="14.25" hidden="false" customHeight="false" outlineLevel="0" collapsed="false">
      <c r="A38" s="6" t="s">
        <v>11</v>
      </c>
      <c r="B38" s="6" t="s">
        <v>127</v>
      </c>
      <c r="C38" s="6" t="s">
        <v>123</v>
      </c>
      <c r="D38" s="7"/>
      <c r="E38" s="6" t="n">
        <f aca="false">32+1</f>
        <v>33</v>
      </c>
      <c r="F38" s="6"/>
      <c r="G38" s="6" t="s">
        <v>125</v>
      </c>
      <c r="H38" s="8" t="n">
        <f aca="false">VLOOKUP(G38,Klausurtage!$A$2:$B$15,2,FALSE())</f>
        <v>46042</v>
      </c>
      <c r="I38" s="8" t="s">
        <v>28</v>
      </c>
      <c r="J38" s="8" t="s">
        <v>17</v>
      </c>
      <c r="K38" s="6" t="s">
        <v>128</v>
      </c>
    </row>
    <row r="39" customFormat="false" ht="14.25" hidden="false" customHeight="false" outlineLevel="0" collapsed="false">
      <c r="A39" s="6" t="s">
        <v>11</v>
      </c>
      <c r="B39" s="6" t="s">
        <v>129</v>
      </c>
      <c r="C39" s="6" t="s">
        <v>123</v>
      </c>
      <c r="D39" s="7"/>
      <c r="E39" s="6" t="n">
        <f aca="false">32</f>
        <v>32</v>
      </c>
      <c r="F39" s="6"/>
      <c r="G39" s="6" t="s">
        <v>125</v>
      </c>
      <c r="H39" s="8" t="n">
        <f aca="false">VLOOKUP(G39,Klausurtage!$A$2:$B$15,2,FALSE())</f>
        <v>46042</v>
      </c>
      <c r="I39" s="8" t="s">
        <v>28</v>
      </c>
      <c r="J39" s="8" t="s">
        <v>17</v>
      </c>
      <c r="K39" s="6" t="s">
        <v>130</v>
      </c>
    </row>
    <row r="40" customFormat="false" ht="14.25" hidden="false" customHeight="false" outlineLevel="0" collapsed="false">
      <c r="A40" s="6" t="s">
        <v>11</v>
      </c>
      <c r="B40" s="6" t="s">
        <v>131</v>
      </c>
      <c r="C40" s="6" t="s">
        <v>132</v>
      </c>
      <c r="D40" s="7" t="n">
        <v>2254</v>
      </c>
      <c r="E40" s="6" t="n">
        <f aca="false">40+1</f>
        <v>41</v>
      </c>
      <c r="F40" s="6"/>
      <c r="G40" s="6" t="s">
        <v>79</v>
      </c>
      <c r="H40" s="8" t="s">
        <v>80</v>
      </c>
      <c r="I40" s="8" t="s">
        <v>80</v>
      </c>
      <c r="J40" s="8"/>
      <c r="K40" s="6" t="s">
        <v>133</v>
      </c>
    </row>
    <row r="41" customFormat="false" ht="14.25" hidden="false" customHeight="false" outlineLevel="0" collapsed="false">
      <c r="A41" s="6" t="s">
        <v>11</v>
      </c>
      <c r="B41" s="6" t="s">
        <v>134</v>
      </c>
      <c r="C41" s="6" t="s">
        <v>132</v>
      </c>
      <c r="D41" s="7"/>
      <c r="E41" s="6" t="n">
        <f aca="false">26+2</f>
        <v>28</v>
      </c>
      <c r="F41" s="6"/>
      <c r="G41" s="6" t="s">
        <v>79</v>
      </c>
      <c r="H41" s="8" t="s">
        <v>80</v>
      </c>
      <c r="I41" s="8" t="s">
        <v>80</v>
      </c>
      <c r="J41" s="8"/>
      <c r="K41" s="6" t="s">
        <v>135</v>
      </c>
    </row>
    <row r="42" customFormat="false" ht="14.25" hidden="false" customHeight="false" outlineLevel="0" collapsed="false">
      <c r="A42" s="22" t="s">
        <v>11</v>
      </c>
      <c r="B42" s="22" t="s">
        <v>136</v>
      </c>
      <c r="C42" s="22" t="s">
        <v>132</v>
      </c>
      <c r="D42" s="23"/>
      <c r="E42" s="22" t="n">
        <f aca="false">36</f>
        <v>36</v>
      </c>
      <c r="F42" s="22"/>
      <c r="G42" s="22" t="s">
        <v>79</v>
      </c>
      <c r="H42" s="24" t="s">
        <v>80</v>
      </c>
      <c r="I42" s="24" t="s">
        <v>80</v>
      </c>
      <c r="J42" s="24"/>
      <c r="K42" s="22" t="s">
        <v>137</v>
      </c>
    </row>
    <row r="43" customFormat="false" ht="14.25" hidden="false" customHeight="false" outlineLevel="0" collapsed="false">
      <c r="A43" s="25" t="s">
        <v>11</v>
      </c>
      <c r="B43" s="25" t="s">
        <v>138</v>
      </c>
      <c r="C43" s="25" t="s">
        <v>139</v>
      </c>
      <c r="D43" s="26" t="n">
        <v>2301.1304</v>
      </c>
      <c r="E43" s="25" t="n">
        <f aca="false">40</f>
        <v>40</v>
      </c>
      <c r="F43" s="25"/>
      <c r="G43" s="25" t="s">
        <v>40</v>
      </c>
      <c r="H43" s="27" t="n">
        <f aca="false">VLOOKUP(G43,Klausurtage!$A$2:$B$15,2,FALSE())</f>
        <v>46043</v>
      </c>
      <c r="I43" s="27" t="s">
        <v>28</v>
      </c>
      <c r="J43" s="27" t="s">
        <v>17</v>
      </c>
      <c r="K43" s="25" t="s">
        <v>140</v>
      </c>
    </row>
    <row r="44" customFormat="false" ht="14.25" hidden="false" customHeight="false" outlineLevel="0" collapsed="false">
      <c r="A44" s="6" t="s">
        <v>11</v>
      </c>
      <c r="B44" s="6" t="s">
        <v>141</v>
      </c>
      <c r="C44" s="6" t="s">
        <v>139</v>
      </c>
      <c r="D44" s="7"/>
      <c r="E44" s="6" t="n">
        <f aca="false">22</f>
        <v>22</v>
      </c>
      <c r="F44" s="6"/>
      <c r="G44" s="6" t="s">
        <v>40</v>
      </c>
      <c r="H44" s="8" t="n">
        <f aca="false">VLOOKUP(G44,Klausurtage!$A$2:$B$15,2,FALSE())</f>
        <v>46043</v>
      </c>
      <c r="I44" s="8" t="s">
        <v>28</v>
      </c>
      <c r="J44" s="8" t="s">
        <v>17</v>
      </c>
      <c r="K44" s="6" t="s">
        <v>142</v>
      </c>
    </row>
    <row r="45" customFormat="false" ht="14.25" hidden="false" customHeight="false" outlineLevel="0" collapsed="false">
      <c r="A45" s="6" t="s">
        <v>11</v>
      </c>
      <c r="B45" s="6" t="s">
        <v>143</v>
      </c>
      <c r="C45" s="6" t="s">
        <v>139</v>
      </c>
      <c r="D45" s="7"/>
      <c r="E45" s="6" t="n">
        <f aca="false">24</f>
        <v>24</v>
      </c>
      <c r="F45" s="6"/>
      <c r="G45" s="6" t="s">
        <v>40</v>
      </c>
      <c r="H45" s="8" t="n">
        <f aca="false">VLOOKUP(G45,Klausurtage!$A$2:$B$15,2,FALSE())</f>
        <v>46043</v>
      </c>
      <c r="I45" s="8" t="s">
        <v>28</v>
      </c>
      <c r="J45" s="8" t="s">
        <v>17</v>
      </c>
      <c r="K45" s="6" t="s">
        <v>144</v>
      </c>
    </row>
    <row r="46" customFormat="false" ht="14.25" hidden="false" customHeight="false" outlineLevel="0" collapsed="false">
      <c r="A46" s="6" t="s">
        <v>11</v>
      </c>
      <c r="B46" s="6" t="s">
        <v>145</v>
      </c>
      <c r="C46" s="6" t="s">
        <v>146</v>
      </c>
      <c r="D46" s="7"/>
      <c r="E46" s="6" t="n">
        <f aca="false">13+30+1</f>
        <v>44</v>
      </c>
      <c r="F46" s="18" t="s">
        <v>97</v>
      </c>
      <c r="G46" s="6" t="s">
        <v>40</v>
      </c>
      <c r="H46" s="8" t="n">
        <f aca="false">VLOOKUP(G46,Klausurtage!$A$2:$B$15,2,FALSE())</f>
        <v>46043</v>
      </c>
      <c r="I46" s="8" t="s">
        <v>28</v>
      </c>
      <c r="J46" s="8" t="s">
        <v>147</v>
      </c>
      <c r="K46" s="6" t="s">
        <v>148</v>
      </c>
    </row>
    <row r="47" customFormat="false" ht="14.25" hidden="false" customHeight="false" outlineLevel="0" collapsed="false">
      <c r="A47" s="6" t="s">
        <v>11</v>
      </c>
      <c r="B47" s="6" t="s">
        <v>149</v>
      </c>
      <c r="C47" s="6" t="s">
        <v>150</v>
      </c>
      <c r="D47" s="7" t="n">
        <v>2302.1302</v>
      </c>
      <c r="E47" s="6" t="n">
        <f aca="false">36</f>
        <v>36</v>
      </c>
      <c r="F47" s="6"/>
      <c r="G47" s="6" t="s">
        <v>103</v>
      </c>
      <c r="H47" s="8" t="n">
        <f aca="false">VLOOKUP(G47,Klausurtage!$A$2:$B$15,2,FALSE())</f>
        <v>46044</v>
      </c>
      <c r="I47" s="8" t="s">
        <v>16</v>
      </c>
      <c r="J47" s="8" t="s">
        <v>17</v>
      </c>
      <c r="K47" s="6" t="s">
        <v>151</v>
      </c>
    </row>
    <row r="48" customFormat="false" ht="14.25" hidden="false" customHeight="false" outlineLevel="0" collapsed="false">
      <c r="A48" s="6" t="s">
        <v>11</v>
      </c>
      <c r="B48" s="6" t="s">
        <v>152</v>
      </c>
      <c r="C48" s="6" t="s">
        <v>150</v>
      </c>
      <c r="D48" s="7"/>
      <c r="E48" s="6" t="n">
        <f aca="false">47</f>
        <v>47</v>
      </c>
      <c r="F48" s="28" t="n">
        <v>0.1</v>
      </c>
      <c r="G48" s="6" t="s">
        <v>103</v>
      </c>
      <c r="H48" s="8" t="n">
        <f aca="false">VLOOKUP(G48,Klausurtage!$A$2:$B$15,2,FALSE())</f>
        <v>46044</v>
      </c>
      <c r="I48" s="8" t="s">
        <v>16</v>
      </c>
      <c r="J48" s="8" t="s">
        <v>98</v>
      </c>
      <c r="K48" s="9" t="s">
        <v>153</v>
      </c>
    </row>
    <row r="49" customFormat="false" ht="14.25" hidden="false" customHeight="false" outlineLevel="0" collapsed="false">
      <c r="A49" s="6" t="s">
        <v>11</v>
      </c>
      <c r="B49" s="6" t="s">
        <v>154</v>
      </c>
      <c r="C49" s="6" t="s">
        <v>150</v>
      </c>
      <c r="D49" s="7"/>
      <c r="E49" s="6" t="n">
        <f aca="false">18</f>
        <v>18</v>
      </c>
      <c r="F49" s="6"/>
      <c r="G49" s="6" t="s">
        <v>103</v>
      </c>
      <c r="H49" s="8" t="n">
        <f aca="false">VLOOKUP(G49,Klausurtage!$A$2:$B$15,2,FALSE())</f>
        <v>46044</v>
      </c>
      <c r="I49" s="8" t="s">
        <v>16</v>
      </c>
      <c r="J49" s="8" t="s">
        <v>17</v>
      </c>
      <c r="K49" s="9" t="s">
        <v>155</v>
      </c>
    </row>
    <row r="50" customFormat="false" ht="14.25" hidden="false" customHeight="false" outlineLevel="0" collapsed="false">
      <c r="A50" s="19" t="s">
        <v>11</v>
      </c>
      <c r="B50" s="19" t="s">
        <v>156</v>
      </c>
      <c r="C50" s="19" t="s">
        <v>157</v>
      </c>
      <c r="D50" s="20" t="n">
        <v>2303.1201</v>
      </c>
      <c r="E50" s="19" t="n">
        <f aca="false">47</f>
        <v>47</v>
      </c>
      <c r="F50" s="19"/>
      <c r="G50" s="19" t="s">
        <v>27</v>
      </c>
      <c r="H50" s="21" t="n">
        <f aca="false">VLOOKUP(G50,Klausurtage!$A$2:$B$15,2,FALSE())</f>
        <v>46048</v>
      </c>
      <c r="I50" s="21" t="s">
        <v>158</v>
      </c>
      <c r="J50" s="21" t="s">
        <v>17</v>
      </c>
      <c r="K50" s="29" t="s">
        <v>159</v>
      </c>
    </row>
    <row r="51" customFormat="false" ht="26.85" hidden="false" customHeight="false" outlineLevel="0" collapsed="false">
      <c r="A51" s="19" t="s">
        <v>11</v>
      </c>
      <c r="B51" s="19" t="s">
        <v>160</v>
      </c>
      <c r="C51" s="19" t="s">
        <v>157</v>
      </c>
      <c r="D51" s="20"/>
      <c r="E51" s="19" t="n">
        <f aca="false">26</f>
        <v>26</v>
      </c>
      <c r="F51" s="19"/>
      <c r="G51" s="19" t="s">
        <v>27</v>
      </c>
      <c r="H51" s="21" t="n">
        <f aca="false">VLOOKUP(G51,Klausurtage!$A$2:$B$15,2,FALSE())</f>
        <v>46048</v>
      </c>
      <c r="I51" s="21" t="s">
        <v>158</v>
      </c>
      <c r="J51" s="21" t="s">
        <v>17</v>
      </c>
      <c r="K51" s="29" t="s">
        <v>161</v>
      </c>
    </row>
    <row r="52" customFormat="false" ht="26.85" hidden="false" customHeight="false" outlineLevel="0" collapsed="false">
      <c r="A52" s="19" t="s">
        <v>11</v>
      </c>
      <c r="B52" s="19" t="s">
        <v>162</v>
      </c>
      <c r="C52" s="19" t="s">
        <v>157</v>
      </c>
      <c r="D52" s="20"/>
      <c r="E52" s="19" t="n">
        <f aca="false">36</f>
        <v>36</v>
      </c>
      <c r="F52" s="19"/>
      <c r="G52" s="19" t="s">
        <v>27</v>
      </c>
      <c r="H52" s="21" t="n">
        <f aca="false">VLOOKUP(G52,Klausurtage!$A$2:$B$15,2,FALSE())</f>
        <v>46048</v>
      </c>
      <c r="I52" s="21" t="s">
        <v>158</v>
      </c>
      <c r="J52" s="21" t="s">
        <v>17</v>
      </c>
      <c r="K52" s="29" t="s">
        <v>161</v>
      </c>
    </row>
    <row r="53" customFormat="false" ht="26.85" hidden="false" customHeight="false" outlineLevel="0" collapsed="false">
      <c r="A53" s="6" t="s">
        <v>11</v>
      </c>
      <c r="B53" s="6" t="s">
        <v>163</v>
      </c>
      <c r="C53" s="6" t="s">
        <v>164</v>
      </c>
      <c r="D53" s="7" t="n">
        <v>2305.1305</v>
      </c>
      <c r="E53" s="6" t="n">
        <f aca="false">44+5</f>
        <v>49</v>
      </c>
      <c r="F53" s="6"/>
      <c r="G53" s="6" t="s">
        <v>15</v>
      </c>
      <c r="H53" s="8" t="n">
        <f aca="false">VLOOKUP(G53,Klausurtage!$A$2:$B$15,2,FALSE())</f>
        <v>46041</v>
      </c>
      <c r="I53" s="8" t="s">
        <v>165</v>
      </c>
      <c r="J53" s="8" t="s">
        <v>166</v>
      </c>
      <c r="K53" s="9" t="s">
        <v>167</v>
      </c>
    </row>
    <row r="54" customFormat="false" ht="26.85" hidden="false" customHeight="false" outlineLevel="0" collapsed="false">
      <c r="A54" s="6" t="s">
        <v>11</v>
      </c>
      <c r="B54" s="6" t="s">
        <v>168</v>
      </c>
      <c r="C54" s="6" t="s">
        <v>164</v>
      </c>
      <c r="D54" s="7"/>
      <c r="E54" s="6" t="n">
        <f aca="false">36+1</f>
        <v>37</v>
      </c>
      <c r="F54" s="6"/>
      <c r="G54" s="6" t="s">
        <v>15</v>
      </c>
      <c r="H54" s="8" t="n">
        <f aca="false">VLOOKUP(G54,Klausurtage!$A$2:$B$15,2,FALSE())</f>
        <v>46041</v>
      </c>
      <c r="I54" s="8" t="s">
        <v>165</v>
      </c>
      <c r="J54" s="8" t="s">
        <v>61</v>
      </c>
      <c r="K54" s="9" t="s">
        <v>169</v>
      </c>
    </row>
    <row r="55" customFormat="false" ht="26.85" hidden="false" customHeight="false" outlineLevel="0" collapsed="false">
      <c r="A55" s="6" t="s">
        <v>11</v>
      </c>
      <c r="B55" s="6" t="s">
        <v>170</v>
      </c>
      <c r="C55" s="6" t="s">
        <v>164</v>
      </c>
      <c r="D55" s="7"/>
      <c r="E55" s="6" t="n">
        <f aca="false">26+6</f>
        <v>32</v>
      </c>
      <c r="F55" s="6"/>
      <c r="G55" s="6" t="s">
        <v>15</v>
      </c>
      <c r="H55" s="8" t="n">
        <f aca="false">VLOOKUP(G55,Klausurtage!$A$2:$B$15,2,FALSE())</f>
        <v>46041</v>
      </c>
      <c r="I55" s="8" t="s">
        <v>165</v>
      </c>
      <c r="J55" s="8" t="s">
        <v>171</v>
      </c>
      <c r="K55" s="9" t="s">
        <v>172</v>
      </c>
    </row>
    <row r="56" customFormat="false" ht="14.25" hidden="false" customHeight="false" outlineLevel="0" collapsed="false">
      <c r="A56" s="6" t="s">
        <v>11</v>
      </c>
      <c r="B56" s="6" t="s">
        <v>173</v>
      </c>
      <c r="C56" s="6" t="s">
        <v>174</v>
      </c>
      <c r="D56" s="7" t="s">
        <v>175</v>
      </c>
      <c r="E56" s="6" t="n">
        <f aca="false">14+2+2+37+10</f>
        <v>65</v>
      </c>
      <c r="F56" s="6"/>
      <c r="G56" s="6" t="s">
        <v>52</v>
      </c>
      <c r="H56" s="8" t="n">
        <f aca="false">VLOOKUP(G56,Klausurtage!$A$2:$B$15,2,FALSE())</f>
        <v>46045</v>
      </c>
      <c r="I56" s="8" t="s">
        <v>16</v>
      </c>
      <c r="J56" s="8" t="s">
        <v>176</v>
      </c>
      <c r="K56" s="9" t="s">
        <v>177</v>
      </c>
      <c r="N56" s="30"/>
    </row>
    <row r="57" customFormat="false" ht="26.85" hidden="false" customHeight="false" outlineLevel="0" collapsed="false">
      <c r="A57" s="6" t="s">
        <v>11</v>
      </c>
      <c r="B57" s="6" t="s">
        <v>178</v>
      </c>
      <c r="C57" s="6" t="s">
        <v>179</v>
      </c>
      <c r="D57" s="7"/>
      <c r="E57" s="6" t="n">
        <f aca="false">5+3+3+35</f>
        <v>46</v>
      </c>
      <c r="F57" s="18" t="s">
        <v>97</v>
      </c>
      <c r="G57" s="6" t="s">
        <v>52</v>
      </c>
      <c r="H57" s="8" t="n">
        <f aca="false">VLOOKUP(G57,Klausurtage!$A$2:$B$15,2,FALSE())</f>
        <v>46045</v>
      </c>
      <c r="I57" s="8" t="s">
        <v>16</v>
      </c>
      <c r="J57" s="8" t="s">
        <v>180</v>
      </c>
      <c r="K57" s="9" t="s">
        <v>181</v>
      </c>
      <c r="N57" s="30"/>
    </row>
    <row r="58" customFormat="false" ht="14.25" hidden="false" customHeight="false" outlineLevel="0" collapsed="false">
      <c r="A58" s="6" t="s">
        <v>11</v>
      </c>
      <c r="B58" s="6" t="s">
        <v>182</v>
      </c>
      <c r="C58" s="6" t="s">
        <v>174</v>
      </c>
      <c r="D58" s="7"/>
      <c r="E58" s="6" t="n">
        <f aca="false">1+3+29</f>
        <v>33</v>
      </c>
      <c r="F58" s="6"/>
      <c r="G58" s="6" t="s">
        <v>52</v>
      </c>
      <c r="H58" s="8" t="n">
        <f aca="false">VLOOKUP(G58,Klausurtage!$A$2:$B$15,2,FALSE())</f>
        <v>46045</v>
      </c>
      <c r="I58" s="8" t="s">
        <v>114</v>
      </c>
      <c r="J58" s="8" t="s">
        <v>166</v>
      </c>
      <c r="K58" s="9" t="s">
        <v>177</v>
      </c>
    </row>
    <row r="59" customFormat="false" ht="26.85" hidden="false" customHeight="false" outlineLevel="0" collapsed="false">
      <c r="A59" s="6" t="s">
        <v>11</v>
      </c>
      <c r="B59" s="6" t="s">
        <v>183</v>
      </c>
      <c r="C59" s="6" t="s">
        <v>184</v>
      </c>
      <c r="D59" s="7" t="n">
        <v>2380</v>
      </c>
      <c r="E59" s="6" t="n">
        <f aca="false">11+12</f>
        <v>23</v>
      </c>
      <c r="F59" s="6"/>
      <c r="G59" s="6" t="s">
        <v>79</v>
      </c>
      <c r="H59" s="31" t="s">
        <v>185</v>
      </c>
      <c r="I59" s="8" t="s">
        <v>80</v>
      </c>
      <c r="J59" s="8"/>
      <c r="K59" s="9" t="s">
        <v>186</v>
      </c>
    </row>
    <row r="60" customFormat="false" ht="26.85" hidden="false" customHeight="false" outlineLevel="0" collapsed="false">
      <c r="A60" s="6" t="s">
        <v>11</v>
      </c>
      <c r="B60" s="6" t="s">
        <v>187</v>
      </c>
      <c r="C60" s="6" t="s">
        <v>184</v>
      </c>
      <c r="D60" s="7"/>
      <c r="E60" s="6" t="n">
        <f aca="false">20+21+8</f>
        <v>49</v>
      </c>
      <c r="F60" s="6"/>
      <c r="G60" s="6" t="s">
        <v>79</v>
      </c>
      <c r="H60" s="31" t="s">
        <v>188</v>
      </c>
      <c r="I60" s="8" t="s">
        <v>80</v>
      </c>
      <c r="J60" s="8"/>
      <c r="K60" s="6" t="s">
        <v>186</v>
      </c>
    </row>
    <row r="61" customFormat="false" ht="14.25" hidden="false" customHeight="false" outlineLevel="0" collapsed="false">
      <c r="A61" s="22" t="s">
        <v>11</v>
      </c>
      <c r="B61" s="22" t="s">
        <v>189</v>
      </c>
      <c r="C61" s="22" t="s">
        <v>184</v>
      </c>
      <c r="D61" s="23"/>
      <c r="E61" s="22" t="n">
        <f aca="false">10+10</f>
        <v>20</v>
      </c>
      <c r="F61" s="32" t="n">
        <v>0.1</v>
      </c>
      <c r="G61" s="22" t="s">
        <v>79</v>
      </c>
      <c r="H61" s="24" t="s">
        <v>80</v>
      </c>
      <c r="I61" s="24" t="s">
        <v>80</v>
      </c>
      <c r="J61" s="24"/>
      <c r="K61" s="22" t="s">
        <v>190</v>
      </c>
    </row>
    <row r="62" customFormat="false" ht="14.25" hidden="false" customHeight="false" outlineLevel="0" collapsed="false">
      <c r="A62" s="25" t="s">
        <v>11</v>
      </c>
      <c r="B62" s="25" t="s">
        <v>191</v>
      </c>
      <c r="C62" s="25" t="s">
        <v>192</v>
      </c>
      <c r="D62" s="26" t="n">
        <v>2401.1404</v>
      </c>
      <c r="E62" s="25" t="n">
        <f aca="false">0+39</f>
        <v>39</v>
      </c>
      <c r="F62" s="25"/>
      <c r="G62" s="25" t="s">
        <v>125</v>
      </c>
      <c r="H62" s="27" t="n">
        <f aca="false">VLOOKUP(G62,Klausurtage!$A$2:$B$15,2,FALSE())</f>
        <v>46042</v>
      </c>
      <c r="I62" s="27" t="s">
        <v>16</v>
      </c>
      <c r="J62" s="27" t="s">
        <v>17</v>
      </c>
      <c r="K62" s="25" t="s">
        <v>193</v>
      </c>
    </row>
    <row r="63" customFormat="false" ht="14.25" hidden="false" customHeight="false" outlineLevel="0" collapsed="false">
      <c r="A63" s="6" t="s">
        <v>11</v>
      </c>
      <c r="B63" s="6" t="s">
        <v>194</v>
      </c>
      <c r="C63" s="6" t="s">
        <v>192</v>
      </c>
      <c r="D63" s="7"/>
      <c r="E63" s="6" t="n">
        <f aca="false">14+27</f>
        <v>41</v>
      </c>
      <c r="F63" s="6"/>
      <c r="G63" s="6" t="s">
        <v>125</v>
      </c>
      <c r="H63" s="8" t="n">
        <f aca="false">VLOOKUP(G63,Klausurtage!$A$2:$B$15,2,FALSE())</f>
        <v>46042</v>
      </c>
      <c r="I63" s="8" t="s">
        <v>16</v>
      </c>
      <c r="J63" s="8" t="s">
        <v>17</v>
      </c>
      <c r="K63" s="6" t="s">
        <v>193</v>
      </c>
    </row>
    <row r="64" customFormat="false" ht="14.25" hidden="false" customHeight="false" outlineLevel="0" collapsed="false">
      <c r="A64" s="6" t="s">
        <v>11</v>
      </c>
      <c r="B64" s="6" t="s">
        <v>195</v>
      </c>
      <c r="C64" s="6" t="s">
        <v>192</v>
      </c>
      <c r="D64" s="7"/>
      <c r="E64" s="6" t="n">
        <f aca="false">10+8</f>
        <v>18</v>
      </c>
      <c r="F64" s="6"/>
      <c r="G64" s="6" t="s">
        <v>125</v>
      </c>
      <c r="H64" s="8" t="n">
        <f aca="false">VLOOKUP(G64,Klausurtage!$A$2:$B$15,2,FALSE())</f>
        <v>46042</v>
      </c>
      <c r="I64" s="8" t="s">
        <v>16</v>
      </c>
      <c r="J64" s="8" t="s">
        <v>17</v>
      </c>
      <c r="K64" s="6" t="s">
        <v>90</v>
      </c>
    </row>
    <row r="65" customFormat="false" ht="14.25" hidden="false" customHeight="false" outlineLevel="0" collapsed="false">
      <c r="A65" s="6" t="s">
        <v>11</v>
      </c>
      <c r="B65" s="6" t="s">
        <v>196</v>
      </c>
      <c r="C65" s="6" t="s">
        <v>197</v>
      </c>
      <c r="D65" s="7" t="n">
        <v>2402.1402</v>
      </c>
      <c r="E65" s="6" t="n">
        <f aca="false">12+11</f>
        <v>23</v>
      </c>
      <c r="F65" s="6"/>
      <c r="G65" s="6" t="s">
        <v>52</v>
      </c>
      <c r="H65" s="8" t="n">
        <f aca="false">VLOOKUP(G65,Klausurtage!$A$2:$B$15,2,FALSE())</f>
        <v>46045</v>
      </c>
      <c r="I65" s="8" t="s">
        <v>198</v>
      </c>
      <c r="J65" s="8" t="s">
        <v>17</v>
      </c>
      <c r="K65" s="6" t="s">
        <v>81</v>
      </c>
    </row>
    <row r="66" customFormat="false" ht="14.25" hidden="false" customHeight="false" outlineLevel="0" collapsed="false">
      <c r="A66" s="6" t="s">
        <v>11</v>
      </c>
      <c r="B66" s="6" t="s">
        <v>199</v>
      </c>
      <c r="C66" s="6" t="s">
        <v>197</v>
      </c>
      <c r="D66" s="7"/>
      <c r="E66" s="6" t="n">
        <f aca="false">35+1+1</f>
        <v>37</v>
      </c>
      <c r="F66" s="6"/>
      <c r="G66" s="6" t="s">
        <v>52</v>
      </c>
      <c r="H66" s="8" t="n">
        <f aca="false">VLOOKUP(G66,Klausurtage!$A$2:$B$15,2,FALSE())</f>
        <v>46045</v>
      </c>
      <c r="I66" s="8" t="s">
        <v>198</v>
      </c>
      <c r="J66" s="8" t="s">
        <v>17</v>
      </c>
      <c r="K66" s="6" t="s">
        <v>200</v>
      </c>
    </row>
    <row r="67" customFormat="false" ht="14.25" hidden="false" customHeight="false" outlineLevel="0" collapsed="false">
      <c r="A67" s="6" t="s">
        <v>11</v>
      </c>
      <c r="B67" s="6" t="s">
        <v>201</v>
      </c>
      <c r="C67" s="6" t="s">
        <v>197</v>
      </c>
      <c r="D67" s="7"/>
      <c r="E67" s="6" t="n">
        <f aca="false">13+16</f>
        <v>29</v>
      </c>
      <c r="F67" s="28" t="n">
        <v>0.1</v>
      </c>
      <c r="G67" s="6" t="s">
        <v>52</v>
      </c>
      <c r="H67" s="8" t="n">
        <f aca="false">VLOOKUP(G67,Klausurtage!$A$2:$B$15,2,FALSE())</f>
        <v>46045</v>
      </c>
      <c r="I67" s="8" t="s">
        <v>198</v>
      </c>
      <c r="J67" s="8" t="s">
        <v>202</v>
      </c>
      <c r="K67" s="6" t="s">
        <v>203</v>
      </c>
    </row>
    <row r="68" customFormat="false" ht="14.25" hidden="false" customHeight="false" outlineLevel="0" collapsed="false">
      <c r="A68" s="6" t="s">
        <v>11</v>
      </c>
      <c r="B68" s="6" t="s">
        <v>204</v>
      </c>
      <c r="C68" s="6" t="s">
        <v>205</v>
      </c>
      <c r="D68" s="7" t="n">
        <v>2404.1303</v>
      </c>
      <c r="E68" s="6" t="n">
        <f aca="false">50</f>
        <v>50</v>
      </c>
      <c r="F68" s="28" t="n">
        <v>0.1</v>
      </c>
      <c r="G68" s="6" t="s">
        <v>40</v>
      </c>
      <c r="H68" s="8" t="n">
        <f aca="false">VLOOKUP(G68,Klausurtage!$A$2:$B$15,2,FALSE())</f>
        <v>46043</v>
      </c>
      <c r="I68" s="8" t="s">
        <v>198</v>
      </c>
      <c r="J68" s="8" t="s">
        <v>206</v>
      </c>
      <c r="K68" s="6" t="s">
        <v>207</v>
      </c>
    </row>
    <row r="69" customFormat="false" ht="14.25" hidden="false" customHeight="false" outlineLevel="0" collapsed="false">
      <c r="A69" s="6" t="s">
        <v>11</v>
      </c>
      <c r="B69" s="6" t="s">
        <v>208</v>
      </c>
      <c r="C69" s="6" t="s">
        <v>205</v>
      </c>
      <c r="D69" s="7"/>
      <c r="E69" s="6" t="n">
        <f aca="false">34</f>
        <v>34</v>
      </c>
      <c r="F69" s="6"/>
      <c r="G69" s="6" t="s">
        <v>40</v>
      </c>
      <c r="H69" s="8" t="n">
        <f aca="false">VLOOKUP(G69,Klausurtage!$A$2:$B$15,2,FALSE())</f>
        <v>46043</v>
      </c>
      <c r="I69" s="8" t="s">
        <v>198</v>
      </c>
      <c r="J69" s="8" t="s">
        <v>17</v>
      </c>
      <c r="K69" s="6" t="s">
        <v>207</v>
      </c>
    </row>
    <row r="70" customFormat="false" ht="14.25" hidden="false" customHeight="false" outlineLevel="0" collapsed="false">
      <c r="A70" s="6" t="s">
        <v>11</v>
      </c>
      <c r="B70" s="6" t="s">
        <v>209</v>
      </c>
      <c r="C70" s="6" t="s">
        <v>205</v>
      </c>
      <c r="D70" s="7"/>
      <c r="E70" s="6" t="n">
        <f aca="false">20</f>
        <v>20</v>
      </c>
      <c r="F70" s="6"/>
      <c r="G70" s="6" t="s">
        <v>40</v>
      </c>
      <c r="H70" s="8" t="n">
        <f aca="false">VLOOKUP(G70,Klausurtage!$A$2:$B$15,2,FALSE())</f>
        <v>46043</v>
      </c>
      <c r="I70" s="8" t="s">
        <v>198</v>
      </c>
      <c r="J70" s="8" t="s">
        <v>17</v>
      </c>
      <c r="K70" s="6" t="s">
        <v>207</v>
      </c>
    </row>
    <row r="71" customFormat="false" ht="14.25" hidden="false" customHeight="false" outlineLevel="0" collapsed="false">
      <c r="A71" s="6" t="s">
        <v>11</v>
      </c>
      <c r="B71" s="6" t="s">
        <v>210</v>
      </c>
      <c r="C71" s="6" t="s">
        <v>211</v>
      </c>
      <c r="D71" s="7" t="n">
        <v>2405</v>
      </c>
      <c r="E71" s="6" t="n">
        <f aca="false">16+14+1</f>
        <v>31</v>
      </c>
      <c r="F71" s="28" t="n">
        <v>0.5</v>
      </c>
      <c r="G71" s="6" t="s">
        <v>65</v>
      </c>
      <c r="H71" s="8" t="n">
        <f aca="false">VLOOKUP(G71,Klausurtage!$A$2:$B$15,2,FALSE())</f>
        <v>46050</v>
      </c>
      <c r="I71" s="8" t="s">
        <v>212</v>
      </c>
      <c r="J71" s="8" t="s">
        <v>98</v>
      </c>
      <c r="K71" s="6" t="s">
        <v>213</v>
      </c>
    </row>
    <row r="72" customFormat="false" ht="14.25" hidden="false" customHeight="false" outlineLevel="0" collapsed="false">
      <c r="A72" s="6" t="s">
        <v>11</v>
      </c>
      <c r="B72" s="6" t="s">
        <v>214</v>
      </c>
      <c r="C72" s="6" t="s">
        <v>211</v>
      </c>
      <c r="D72" s="7"/>
      <c r="E72" s="6" t="n">
        <f aca="false">14+11</f>
        <v>25</v>
      </c>
      <c r="F72" s="6"/>
      <c r="G72" s="6" t="s">
        <v>65</v>
      </c>
      <c r="H72" s="8" t="n">
        <f aca="false">VLOOKUP(G72,Klausurtage!$A$2:$B$15,2,FALSE())</f>
        <v>46050</v>
      </c>
      <c r="I72" s="8" t="s">
        <v>212</v>
      </c>
      <c r="J72" s="8" t="s">
        <v>17</v>
      </c>
      <c r="K72" s="6" t="s">
        <v>215</v>
      </c>
    </row>
    <row r="73" customFormat="false" ht="14.25" hidden="false" customHeight="false" outlineLevel="0" collapsed="false">
      <c r="A73" s="6" t="s">
        <v>11</v>
      </c>
      <c r="B73" s="6" t="s">
        <v>216</v>
      </c>
      <c r="C73" s="6" t="s">
        <v>211</v>
      </c>
      <c r="D73" s="7"/>
      <c r="E73" s="6" t="n">
        <f aca="false">24+16</f>
        <v>40</v>
      </c>
      <c r="F73" s="28" t="n">
        <v>0.1</v>
      </c>
      <c r="G73" s="6" t="s">
        <v>65</v>
      </c>
      <c r="H73" s="8" t="n">
        <f aca="false">VLOOKUP(G73,Klausurtage!$A$2:$B$15,2,FALSE())</f>
        <v>46050</v>
      </c>
      <c r="I73" s="8" t="s">
        <v>217</v>
      </c>
      <c r="J73" s="8" t="s">
        <v>180</v>
      </c>
      <c r="K73" s="6" t="s">
        <v>218</v>
      </c>
    </row>
    <row r="74" customFormat="false" ht="14.25" hidden="false" customHeight="false" outlineLevel="0" collapsed="false">
      <c r="A74" s="6" t="s">
        <v>11</v>
      </c>
      <c r="B74" s="6" t="s">
        <v>219</v>
      </c>
      <c r="C74" s="6" t="s">
        <v>220</v>
      </c>
      <c r="D74" s="7" t="n">
        <v>2453</v>
      </c>
      <c r="E74" s="6" t="n">
        <f aca="false">29+5</f>
        <v>34</v>
      </c>
      <c r="F74" s="6"/>
      <c r="G74" s="6" t="s">
        <v>113</v>
      </c>
      <c r="H74" s="8" t="n">
        <f aca="false">VLOOKUP(G74,Klausurtage!$A$2:$B$15,2,FALSE())</f>
        <v>46049</v>
      </c>
      <c r="I74" s="8" t="s">
        <v>16</v>
      </c>
      <c r="J74" s="8" t="s">
        <v>17</v>
      </c>
      <c r="K74" s="6" t="s">
        <v>221</v>
      </c>
    </row>
    <row r="75" customFormat="false" ht="14.25" hidden="false" customHeight="false" outlineLevel="0" collapsed="false">
      <c r="A75" s="6" t="s">
        <v>11</v>
      </c>
      <c r="B75" s="6" t="s">
        <v>222</v>
      </c>
      <c r="C75" s="6" t="s">
        <v>220</v>
      </c>
      <c r="D75" s="7"/>
      <c r="E75" s="6" t="n">
        <f aca="false">23+21</f>
        <v>44</v>
      </c>
      <c r="F75" s="28" t="n">
        <v>0.5</v>
      </c>
      <c r="G75" s="6" t="s">
        <v>113</v>
      </c>
      <c r="H75" s="8" t="n">
        <f aca="false">VLOOKUP(G75,Klausurtage!$A$2:$B$15,2,FALSE())</f>
        <v>46049</v>
      </c>
      <c r="I75" s="8" t="s">
        <v>16</v>
      </c>
      <c r="J75" s="8" t="s">
        <v>223</v>
      </c>
      <c r="K75" s="6" t="s">
        <v>221</v>
      </c>
    </row>
    <row r="76" customFormat="false" ht="14.25" hidden="false" customHeight="false" outlineLevel="0" collapsed="false">
      <c r="A76" s="22" t="s">
        <v>11</v>
      </c>
      <c r="B76" s="22" t="s">
        <v>224</v>
      </c>
      <c r="C76" s="22" t="s">
        <v>220</v>
      </c>
      <c r="D76" s="23"/>
      <c r="E76" s="22" t="n">
        <f aca="false">48</f>
        <v>48</v>
      </c>
      <c r="F76" s="22"/>
      <c r="G76" s="22" t="s">
        <v>113</v>
      </c>
      <c r="H76" s="24" t="n">
        <f aca="false">VLOOKUP(G76,Klausurtage!$A$2:$B$15,2,FALSE())</f>
        <v>46049</v>
      </c>
      <c r="I76" s="24" t="s">
        <v>16</v>
      </c>
      <c r="J76" s="24" t="s">
        <v>223</v>
      </c>
      <c r="K76" s="22" t="s">
        <v>225</v>
      </c>
    </row>
    <row r="77" customFormat="false" ht="14.25" hidden="false" customHeight="false" outlineLevel="0" collapsed="false">
      <c r="A77" s="25" t="s">
        <v>11</v>
      </c>
      <c r="B77" s="25" t="s">
        <v>226</v>
      </c>
      <c r="C77" s="25" t="s">
        <v>227</v>
      </c>
      <c r="D77" s="26" t="n">
        <v>3551.1551</v>
      </c>
      <c r="E77" s="25" t="n">
        <f aca="false">32+2</f>
        <v>34</v>
      </c>
      <c r="F77" s="33" t="n">
        <v>0.1</v>
      </c>
      <c r="G77" s="25" t="s">
        <v>27</v>
      </c>
      <c r="H77" s="27" t="n">
        <f aca="false">VLOOKUP(G77,Klausurtage!$A$2:$B$15,2,FALSE())</f>
        <v>46048</v>
      </c>
      <c r="I77" s="27" t="s">
        <v>16</v>
      </c>
      <c r="J77" s="27" t="s">
        <v>228</v>
      </c>
      <c r="K77" s="25" t="s">
        <v>229</v>
      </c>
    </row>
    <row r="78" customFormat="false" ht="14.25" hidden="false" customHeight="false" outlineLevel="0" collapsed="false">
      <c r="A78" s="6" t="s">
        <v>11</v>
      </c>
      <c r="B78" s="6" t="s">
        <v>230</v>
      </c>
      <c r="C78" s="6" t="s">
        <v>227</v>
      </c>
      <c r="D78" s="6"/>
      <c r="E78" s="6" t="n">
        <f aca="false">33</f>
        <v>33</v>
      </c>
      <c r="F78" s="6"/>
      <c r="G78" s="6" t="s">
        <v>27</v>
      </c>
      <c r="H78" s="8" t="n">
        <f aca="false">VLOOKUP(G78,Klausurtage!$A$2:$B$15,2,FALSE())</f>
        <v>46048</v>
      </c>
      <c r="I78" s="8" t="s">
        <v>16</v>
      </c>
      <c r="J78" s="8" t="s">
        <v>17</v>
      </c>
      <c r="K78" s="9" t="s">
        <v>229</v>
      </c>
    </row>
    <row r="79" customFormat="false" ht="26.85" hidden="false" customHeight="false" outlineLevel="0" collapsed="false">
      <c r="A79" s="22" t="s">
        <v>11</v>
      </c>
      <c r="B79" s="22" t="s">
        <v>231</v>
      </c>
      <c r="C79" s="22" t="s">
        <v>227</v>
      </c>
      <c r="D79" s="22"/>
      <c r="E79" s="22" t="n">
        <f aca="false">39+4</f>
        <v>43</v>
      </c>
      <c r="F79" s="22"/>
      <c r="G79" s="22" t="s">
        <v>27</v>
      </c>
      <c r="H79" s="24" t="n">
        <f aca="false">VLOOKUP(G79,Klausurtage!$A$2:$B$15,2,FALSE())</f>
        <v>46048</v>
      </c>
      <c r="I79" s="24" t="s">
        <v>16</v>
      </c>
      <c r="J79" s="24" t="s">
        <v>17</v>
      </c>
      <c r="K79" s="34" t="s">
        <v>232</v>
      </c>
    </row>
    <row r="80" customFormat="false" ht="14.25" hidden="false" customHeight="false" outlineLevel="0" collapsed="false">
      <c r="A80" s="25" t="s">
        <v>11</v>
      </c>
      <c r="B80" s="25" t="s">
        <v>233</v>
      </c>
      <c r="C80" s="25" t="s">
        <v>234</v>
      </c>
      <c r="D80" s="25" t="n">
        <v>3601</v>
      </c>
      <c r="E80" s="25" t="n">
        <f aca="false">22</f>
        <v>22</v>
      </c>
      <c r="F80" s="25"/>
      <c r="G80" s="25" t="s">
        <v>79</v>
      </c>
      <c r="H80" s="27" t="s">
        <v>80</v>
      </c>
      <c r="I80" s="27" t="s">
        <v>80</v>
      </c>
      <c r="J80" s="27"/>
      <c r="K80" s="35" t="s">
        <v>235</v>
      </c>
    </row>
    <row r="81" customFormat="false" ht="14.25" hidden="false" customHeight="false" outlineLevel="0" collapsed="false">
      <c r="A81" s="6" t="s">
        <v>11</v>
      </c>
      <c r="B81" s="6" t="s">
        <v>236</v>
      </c>
      <c r="C81" s="6" t="s">
        <v>234</v>
      </c>
      <c r="D81" s="6"/>
      <c r="E81" s="6" t="n">
        <f aca="false">35</f>
        <v>35</v>
      </c>
      <c r="F81" s="6"/>
      <c r="G81" s="6" t="s">
        <v>79</v>
      </c>
      <c r="H81" s="8" t="s">
        <v>80</v>
      </c>
      <c r="I81" s="8" t="s">
        <v>80</v>
      </c>
      <c r="J81" s="8"/>
      <c r="K81" s="9" t="s">
        <v>237</v>
      </c>
    </row>
    <row r="82" customFormat="false" ht="26.85" hidden="false" customHeight="false" outlineLevel="0" collapsed="false">
      <c r="A82" s="6" t="s">
        <v>11</v>
      </c>
      <c r="B82" s="6" t="s">
        <v>238</v>
      </c>
      <c r="C82" s="6" t="s">
        <v>234</v>
      </c>
      <c r="D82" s="6"/>
      <c r="E82" s="6" t="n">
        <f aca="false">10</f>
        <v>10</v>
      </c>
      <c r="F82" s="6"/>
      <c r="G82" s="6" t="s">
        <v>79</v>
      </c>
      <c r="H82" s="8" t="s">
        <v>80</v>
      </c>
      <c r="I82" s="8" t="s">
        <v>80</v>
      </c>
      <c r="J82" s="8"/>
      <c r="K82" s="9" t="s">
        <v>239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2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2.67"/>
    <col collapsed="false" customWidth="true" hidden="false" outlineLevel="0" max="3" min="3" style="1" width="33.44"/>
    <col collapsed="false" customWidth="true" hidden="false" outlineLevel="0" max="4" min="4" style="1" width="20"/>
    <col collapsed="false" customWidth="true" hidden="false" outlineLevel="0" max="5" min="5" style="1" width="17.44"/>
    <col collapsed="false" customWidth="true" hidden="false" outlineLevel="0" max="6" min="6" style="1" width="18.11"/>
    <col collapsed="false" customWidth="true" hidden="false" outlineLevel="0" max="7" min="7" style="1" width="14.34"/>
    <col collapsed="false" customWidth="true" hidden="false" outlineLevel="0" max="8" min="8" style="2" width="20.33"/>
    <col collapsed="false" customWidth="true" hidden="false" outlineLevel="0" max="9" min="9" style="1" width="14.67"/>
    <col collapsed="false" customWidth="true" hidden="false" outlineLevel="0" max="10" min="10" style="1" width="14.34"/>
    <col collapsed="false" customWidth="true" hidden="false" outlineLevel="0" max="11" min="11" style="1" width="50.67"/>
    <col collapsed="false" customWidth="false" hidden="false" outlineLevel="0" max="16384" min="12" style="1" width="11.45"/>
  </cols>
  <sheetData>
    <row r="1" customFormat="false" ht="61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1032</v>
      </c>
      <c r="C2" s="9" t="s">
        <v>1033</v>
      </c>
      <c r="D2" s="7"/>
      <c r="E2" s="6" t="n">
        <f aca="false">29</f>
        <v>29</v>
      </c>
      <c r="F2" s="6"/>
      <c r="G2" s="6" t="s">
        <v>40</v>
      </c>
      <c r="H2" s="8" t="n">
        <f aca="false">VLOOKUP(G2,Klausurtage!$A$2:$B$15,2,FALSE())</f>
        <v>46043</v>
      </c>
      <c r="I2" s="6" t="s">
        <v>831</v>
      </c>
      <c r="J2" s="6" t="s">
        <v>61</v>
      </c>
      <c r="K2" s="9" t="s">
        <v>1034</v>
      </c>
    </row>
    <row r="3" customFormat="false" ht="26.85" hidden="false" customHeight="false" outlineLevel="0" collapsed="false">
      <c r="A3" s="6" t="s">
        <v>11</v>
      </c>
      <c r="B3" s="6" t="s">
        <v>1035</v>
      </c>
      <c r="C3" s="9" t="s">
        <v>1036</v>
      </c>
      <c r="D3" s="7" t="n">
        <v>60103</v>
      </c>
      <c r="E3" s="6" t="n">
        <f aca="false">23</f>
        <v>23</v>
      </c>
      <c r="F3" s="6"/>
      <c r="G3" s="6" t="s">
        <v>52</v>
      </c>
      <c r="H3" s="8" t="n">
        <f aca="false">VLOOKUP(G3,Klausurtage!$A$2:$B$15,2,FALSE())</f>
        <v>46045</v>
      </c>
      <c r="I3" s="6" t="s">
        <v>244</v>
      </c>
      <c r="J3" s="6" t="s">
        <v>57</v>
      </c>
      <c r="K3" s="9" t="s">
        <v>1037</v>
      </c>
    </row>
    <row r="4" customFormat="false" ht="26.85" hidden="false" customHeight="false" outlineLevel="0" collapsed="false">
      <c r="A4" s="6" t="s">
        <v>11</v>
      </c>
      <c r="B4" s="6" t="s">
        <v>1038</v>
      </c>
      <c r="C4" s="9" t="s">
        <v>1039</v>
      </c>
      <c r="D4" s="7" t="n">
        <v>60104</v>
      </c>
      <c r="E4" s="6"/>
      <c r="F4" s="6"/>
      <c r="G4" s="6" t="s">
        <v>79</v>
      </c>
      <c r="H4" s="6" t="s">
        <v>270</v>
      </c>
      <c r="I4" s="6" t="s">
        <v>270</v>
      </c>
      <c r="J4" s="6"/>
      <c r="K4" s="9" t="s">
        <v>130</v>
      </c>
    </row>
    <row r="5" customFormat="false" ht="13.8" hidden="false" customHeight="false" outlineLevel="0" collapsed="false">
      <c r="A5" s="6" t="s">
        <v>11</v>
      </c>
      <c r="B5" s="6" t="s">
        <v>1040</v>
      </c>
      <c r="C5" s="9" t="s">
        <v>1041</v>
      </c>
      <c r="D5" s="7" t="n">
        <v>60105</v>
      </c>
      <c r="E5" s="6"/>
      <c r="F5" s="6"/>
      <c r="G5" s="6" t="s">
        <v>79</v>
      </c>
      <c r="H5" s="6" t="s">
        <v>270</v>
      </c>
      <c r="I5" s="6" t="s">
        <v>270</v>
      </c>
      <c r="J5" s="6"/>
      <c r="K5" s="9" t="s">
        <v>1042</v>
      </c>
    </row>
    <row r="6" customFormat="false" ht="13.8" hidden="false" customHeight="false" outlineLevel="0" collapsed="false">
      <c r="A6" s="22" t="s">
        <v>11</v>
      </c>
      <c r="B6" s="22" t="s">
        <v>1043</v>
      </c>
      <c r="C6" s="34" t="s">
        <v>1044</v>
      </c>
      <c r="D6" s="23" t="n">
        <v>60151</v>
      </c>
      <c r="E6" s="22" t="n">
        <f aca="false">35</f>
        <v>35</v>
      </c>
      <c r="F6" s="22"/>
      <c r="G6" s="22" t="s">
        <v>15</v>
      </c>
      <c r="H6" s="24" t="n">
        <f aca="false">VLOOKUP(G6,Klausurtage!$A$2:$B$15,2,FALSE())</f>
        <v>46041</v>
      </c>
      <c r="I6" s="22" t="s">
        <v>351</v>
      </c>
      <c r="J6" s="22" t="s">
        <v>180</v>
      </c>
      <c r="K6" s="34" t="s">
        <v>203</v>
      </c>
    </row>
    <row r="7" customFormat="false" ht="13.8" hidden="false" customHeight="false" outlineLevel="0" collapsed="false">
      <c r="A7" s="25" t="s">
        <v>11</v>
      </c>
      <c r="B7" s="25" t="s">
        <v>1045</v>
      </c>
      <c r="C7" s="35" t="s">
        <v>1046</v>
      </c>
      <c r="D7" s="26" t="n">
        <v>60202</v>
      </c>
      <c r="E7" s="25" t="n">
        <f aca="false">13</f>
        <v>13</v>
      </c>
      <c r="F7" s="25"/>
      <c r="G7" s="25" t="s">
        <v>88</v>
      </c>
      <c r="H7" s="27" t="n">
        <f aca="false">VLOOKUP(G7,Klausurtage!$A$2:$B$15,2,FALSE())</f>
        <v>46051</v>
      </c>
      <c r="I7" s="25" t="s">
        <v>251</v>
      </c>
      <c r="J7" s="25" t="s">
        <v>519</v>
      </c>
      <c r="K7" s="35" t="s">
        <v>924</v>
      </c>
    </row>
    <row r="8" customFormat="false" ht="13.8" hidden="false" customHeight="false" outlineLevel="0" collapsed="false">
      <c r="A8" s="6" t="s">
        <v>11</v>
      </c>
      <c r="B8" s="6" t="s">
        <v>1047</v>
      </c>
      <c r="C8" s="9" t="s">
        <v>1048</v>
      </c>
      <c r="D8" s="7" t="n">
        <v>60102</v>
      </c>
      <c r="E8" s="6" t="n">
        <f aca="false">14</f>
        <v>14</v>
      </c>
      <c r="F8" s="6"/>
      <c r="G8" s="6" t="s">
        <v>113</v>
      </c>
      <c r="H8" s="8" t="n">
        <f aca="false">VLOOKUP(G8,Klausurtage!$A$2:$B$15,2,FALSE())</f>
        <v>46049</v>
      </c>
      <c r="I8" s="6" t="s">
        <v>244</v>
      </c>
      <c r="J8" s="6" t="s">
        <v>519</v>
      </c>
      <c r="K8" s="9" t="s">
        <v>140</v>
      </c>
    </row>
    <row r="9" customFormat="false" ht="13.8" hidden="false" customHeight="false" outlineLevel="0" collapsed="false">
      <c r="A9" s="22" t="s">
        <v>11</v>
      </c>
      <c r="B9" s="22" t="s">
        <v>1049</v>
      </c>
      <c r="C9" s="34" t="s">
        <v>220</v>
      </c>
      <c r="D9" s="23" t="n">
        <v>60251</v>
      </c>
      <c r="E9" s="22" t="n">
        <f aca="false">14+1</f>
        <v>15</v>
      </c>
      <c r="F9" s="22"/>
      <c r="G9" s="22" t="s">
        <v>27</v>
      </c>
      <c r="H9" s="24" t="n">
        <f aca="false">VLOOKUP(G9,Klausurtage!$A$2:$B$15,2,FALSE())</f>
        <v>46048</v>
      </c>
      <c r="I9" s="22" t="s">
        <v>198</v>
      </c>
      <c r="J9" s="22" t="s">
        <v>519</v>
      </c>
      <c r="K9" s="34" t="s">
        <v>229</v>
      </c>
    </row>
    <row r="10" customFormat="false" ht="39.55" hidden="false" customHeight="false" outlineLevel="0" collapsed="false">
      <c r="A10" s="25" t="s">
        <v>11</v>
      </c>
      <c r="B10" s="25" t="s">
        <v>1050</v>
      </c>
      <c r="C10" s="35" t="s">
        <v>1051</v>
      </c>
      <c r="D10" s="26" t="n">
        <v>60203</v>
      </c>
      <c r="E10" s="25"/>
      <c r="F10" s="25"/>
      <c r="G10" s="25" t="s">
        <v>79</v>
      </c>
      <c r="H10" s="25" t="s">
        <v>270</v>
      </c>
      <c r="I10" s="25" t="s">
        <v>270</v>
      </c>
      <c r="J10" s="25"/>
      <c r="K10" s="35" t="s">
        <v>1052</v>
      </c>
    </row>
    <row r="11" customFormat="false" ht="26.85" hidden="false" customHeight="false" outlineLevel="0" collapsed="false">
      <c r="A11" s="6" t="s">
        <v>11</v>
      </c>
      <c r="B11" s="6" t="s">
        <v>1053</v>
      </c>
      <c r="C11" s="9" t="s">
        <v>1054</v>
      </c>
      <c r="D11" s="7" t="n">
        <v>60204</v>
      </c>
      <c r="E11" s="6"/>
      <c r="F11" s="6"/>
      <c r="G11" s="6" t="s">
        <v>79</v>
      </c>
      <c r="H11" s="6" t="s">
        <v>270</v>
      </c>
      <c r="I11" s="6" t="s">
        <v>270</v>
      </c>
      <c r="J11" s="6"/>
      <c r="K11" s="9" t="s">
        <v>1055</v>
      </c>
    </row>
    <row r="12" customFormat="false" ht="13.8" hidden="false" customHeight="false" outlineLevel="0" collapsed="false">
      <c r="A12" s="6" t="s">
        <v>11</v>
      </c>
      <c r="B12" s="6" t="s">
        <v>1056</v>
      </c>
      <c r="C12" s="9" t="s">
        <v>1057</v>
      </c>
      <c r="D12" s="7" t="n">
        <v>60351</v>
      </c>
      <c r="E12" s="6"/>
      <c r="F12" s="6"/>
      <c r="G12" s="6" t="s">
        <v>79</v>
      </c>
      <c r="H12" s="6" t="s">
        <v>270</v>
      </c>
      <c r="I12" s="6" t="s">
        <v>270</v>
      </c>
      <c r="J12" s="6"/>
      <c r="K12" s="9" t="s">
        <v>1058</v>
      </c>
    </row>
    <row r="13" customFormat="false" ht="26.85" hidden="false" customHeight="false" outlineLevel="0" collapsed="false">
      <c r="A13" s="6" t="s">
        <v>11</v>
      </c>
      <c r="B13" s="6" t="s">
        <v>1059</v>
      </c>
      <c r="C13" s="9" t="s">
        <v>1060</v>
      </c>
      <c r="D13" s="7" t="n">
        <v>60281</v>
      </c>
      <c r="E13" s="6"/>
      <c r="F13" s="6"/>
      <c r="G13" s="6" t="s">
        <v>79</v>
      </c>
      <c r="H13" s="6" t="s">
        <v>1061</v>
      </c>
      <c r="I13" s="6" t="s">
        <v>270</v>
      </c>
      <c r="J13" s="6"/>
      <c r="K13" s="9" t="s">
        <v>1062</v>
      </c>
    </row>
    <row r="14" customFormat="false" ht="26.85" hidden="false" customHeight="false" outlineLevel="0" collapsed="false">
      <c r="A14" s="6" t="s">
        <v>11</v>
      </c>
      <c r="B14" s="6" t="s">
        <v>1063</v>
      </c>
      <c r="C14" s="9" t="s">
        <v>1064</v>
      </c>
      <c r="D14" s="7" t="n">
        <v>60282</v>
      </c>
      <c r="E14" s="6"/>
      <c r="F14" s="6"/>
      <c r="G14" s="6" t="s">
        <v>79</v>
      </c>
      <c r="H14" s="6" t="s">
        <v>1061</v>
      </c>
      <c r="I14" s="6" t="s">
        <v>270</v>
      </c>
      <c r="J14" s="6"/>
      <c r="K14" s="9" t="s">
        <v>1065</v>
      </c>
    </row>
    <row r="15" customFormat="false" ht="39.55" hidden="false" customHeight="false" outlineLevel="0" collapsed="false">
      <c r="A15" s="6" t="s">
        <v>11</v>
      </c>
      <c r="B15" s="6" t="s">
        <v>1066</v>
      </c>
      <c r="C15" s="9" t="s">
        <v>1067</v>
      </c>
      <c r="D15" s="7" t="n">
        <v>60283</v>
      </c>
      <c r="E15" s="6"/>
      <c r="F15" s="6"/>
      <c r="G15" s="6" t="s">
        <v>79</v>
      </c>
      <c r="H15" s="6" t="s">
        <v>1061</v>
      </c>
      <c r="I15" s="6" t="s">
        <v>270</v>
      </c>
      <c r="J15" s="6"/>
      <c r="K15" s="9" t="s">
        <v>1068</v>
      </c>
    </row>
    <row r="16" customFormat="false" ht="39.55" hidden="false" customHeight="false" outlineLevel="0" collapsed="false">
      <c r="A16" s="22" t="s">
        <v>11</v>
      </c>
      <c r="B16" s="22" t="s">
        <v>1069</v>
      </c>
      <c r="C16" s="34" t="s">
        <v>1070</v>
      </c>
      <c r="D16" s="23"/>
      <c r="E16" s="22"/>
      <c r="F16" s="22"/>
      <c r="G16" s="22" t="s">
        <v>79</v>
      </c>
      <c r="H16" s="22" t="s">
        <v>1061</v>
      </c>
      <c r="I16" s="22" t="s">
        <v>270</v>
      </c>
      <c r="J16" s="22"/>
      <c r="K16" s="34" t="s">
        <v>1071</v>
      </c>
    </row>
    <row r="17" customFormat="false" ht="26.85" hidden="false" customHeight="false" outlineLevel="0" collapsed="false">
      <c r="A17" s="25" t="s">
        <v>11</v>
      </c>
      <c r="B17" s="25" t="s">
        <v>1072</v>
      </c>
      <c r="C17" s="35" t="s">
        <v>1073</v>
      </c>
      <c r="D17" s="26"/>
      <c r="E17" s="25"/>
      <c r="F17" s="25"/>
      <c r="G17" s="25" t="s">
        <v>79</v>
      </c>
      <c r="H17" s="25" t="s">
        <v>270</v>
      </c>
      <c r="I17" s="25" t="s">
        <v>270</v>
      </c>
      <c r="J17" s="25"/>
      <c r="K17" s="35" t="s">
        <v>1074</v>
      </c>
    </row>
    <row r="18" customFormat="false" ht="13.8" hidden="false" customHeight="false" outlineLevel="0" collapsed="false">
      <c r="A18" s="22" t="s">
        <v>11</v>
      </c>
      <c r="B18" s="22" t="s">
        <v>1075</v>
      </c>
      <c r="C18" s="34" t="s">
        <v>1076</v>
      </c>
      <c r="D18" s="23" t="s">
        <v>1077</v>
      </c>
      <c r="E18" s="22"/>
      <c r="F18" s="22"/>
      <c r="G18" s="22" t="s">
        <v>79</v>
      </c>
      <c r="H18" s="22" t="s">
        <v>270</v>
      </c>
      <c r="I18" s="22" t="s">
        <v>270</v>
      </c>
      <c r="J18" s="22"/>
      <c r="K18" s="34" t="s">
        <v>1078</v>
      </c>
    </row>
    <row r="19" customFormat="false" ht="26.85" hidden="false" customHeight="false" outlineLevel="0" collapsed="false">
      <c r="A19" s="25" t="s">
        <v>11</v>
      </c>
      <c r="B19" s="25" t="s">
        <v>1079</v>
      </c>
      <c r="C19" s="35" t="s">
        <v>1080</v>
      </c>
      <c r="D19" s="26"/>
      <c r="E19" s="25"/>
      <c r="F19" s="25"/>
      <c r="G19" s="25" t="s">
        <v>79</v>
      </c>
      <c r="H19" s="25" t="s">
        <v>270</v>
      </c>
      <c r="I19" s="25" t="s">
        <v>270</v>
      </c>
      <c r="J19" s="25"/>
      <c r="K19" s="35" t="s">
        <v>1081</v>
      </c>
    </row>
    <row r="20" customFormat="false" ht="26.85" hidden="false" customHeight="false" outlineLevel="0" collapsed="false">
      <c r="A20" s="6" t="s">
        <v>11</v>
      </c>
      <c r="B20" s="6" t="s">
        <v>1082</v>
      </c>
      <c r="C20" s="9" t="s">
        <v>1083</v>
      </c>
      <c r="D20" s="7"/>
      <c r="E20" s="6"/>
      <c r="F20" s="6"/>
      <c r="G20" s="6" t="s">
        <v>79</v>
      </c>
      <c r="H20" s="6" t="s">
        <v>270</v>
      </c>
      <c r="I20" s="6" t="s">
        <v>270</v>
      </c>
      <c r="J20" s="6"/>
      <c r="K20" s="9" t="s">
        <v>924</v>
      </c>
    </row>
    <row r="21" customFormat="false" ht="26.85" hidden="false" customHeight="false" outlineLevel="0" collapsed="false">
      <c r="A21" s="6" t="s">
        <v>11</v>
      </c>
      <c r="B21" s="6" t="s">
        <v>1084</v>
      </c>
      <c r="C21" s="9" t="s">
        <v>1085</v>
      </c>
      <c r="D21" s="7"/>
      <c r="E21" s="6" t="n">
        <f aca="false">7+1</f>
        <v>8</v>
      </c>
      <c r="F21" s="6"/>
      <c r="G21" s="6" t="s">
        <v>65</v>
      </c>
      <c r="H21" s="8" t="n">
        <f aca="false">VLOOKUP(G21,Klausurtage!$A$2:$B$15,2,FALSE())</f>
        <v>46050</v>
      </c>
      <c r="I21" s="6" t="s">
        <v>1086</v>
      </c>
      <c r="J21" s="6" t="s">
        <v>94</v>
      </c>
      <c r="K21" s="9" t="s">
        <v>921</v>
      </c>
    </row>
    <row r="22" customFormat="false" ht="26.85" hidden="false" customHeight="false" outlineLevel="0" collapsed="false">
      <c r="A22" s="6" t="s">
        <v>11</v>
      </c>
      <c r="B22" s="6" t="s">
        <v>1087</v>
      </c>
      <c r="C22" s="9" t="s">
        <v>1088</v>
      </c>
      <c r="D22" s="7" t="s">
        <v>1089</v>
      </c>
      <c r="E22" s="6"/>
      <c r="F22" s="6"/>
      <c r="G22" s="6" t="s">
        <v>79</v>
      </c>
      <c r="H22" s="6" t="s">
        <v>270</v>
      </c>
      <c r="I22" s="6" t="s">
        <v>270</v>
      </c>
      <c r="J22" s="6"/>
      <c r="K22" s="9" t="s">
        <v>1022</v>
      </c>
    </row>
    <row r="23" customFormat="false" ht="13.8" hidden="false" customHeight="false" outlineLevel="0" collapsed="false">
      <c r="A23" s="6" t="s">
        <v>497</v>
      </c>
      <c r="B23" s="6" t="s">
        <v>1090</v>
      </c>
      <c r="C23" s="9" t="s">
        <v>1091</v>
      </c>
      <c r="D23" s="7"/>
      <c r="E23" s="6"/>
      <c r="F23" s="6"/>
      <c r="G23" s="6" t="s">
        <v>79</v>
      </c>
      <c r="H23" s="6" t="s">
        <v>270</v>
      </c>
      <c r="I23" s="6" t="s">
        <v>270</v>
      </c>
      <c r="J23" s="6"/>
      <c r="K23" s="9" t="s">
        <v>177</v>
      </c>
    </row>
    <row r="24" customFormat="false" ht="26.85" hidden="false" customHeight="false" outlineLevel="0" collapsed="false">
      <c r="A24" s="6" t="s">
        <v>497</v>
      </c>
      <c r="B24" s="6" t="s">
        <v>1092</v>
      </c>
      <c r="C24" s="9" t="s">
        <v>1093</v>
      </c>
      <c r="D24" s="7"/>
      <c r="E24" s="6"/>
      <c r="F24" s="6"/>
      <c r="G24" s="6" t="s">
        <v>79</v>
      </c>
      <c r="H24" s="6" t="s">
        <v>270</v>
      </c>
      <c r="I24" s="6" t="s">
        <v>270</v>
      </c>
      <c r="J24" s="6"/>
      <c r="K24" s="9" t="s">
        <v>1094</v>
      </c>
    </row>
    <row r="25" customFormat="false" ht="26.85" hidden="false" customHeight="false" outlineLevel="0" collapsed="false">
      <c r="A25" s="6" t="s">
        <v>497</v>
      </c>
      <c r="B25" s="6" t="s">
        <v>1095</v>
      </c>
      <c r="C25" s="9" t="s">
        <v>1096</v>
      </c>
      <c r="D25" s="7"/>
      <c r="E25" s="6"/>
      <c r="F25" s="6"/>
      <c r="G25" s="6" t="s">
        <v>79</v>
      </c>
      <c r="H25" s="6" t="s">
        <v>270</v>
      </c>
      <c r="I25" s="6" t="s">
        <v>270</v>
      </c>
      <c r="J25" s="6"/>
      <c r="K25" s="9" t="s">
        <v>1097</v>
      </c>
    </row>
    <row r="26" customFormat="false" ht="13.8" hidden="false" customHeight="false" outlineLevel="0" collapsed="false">
      <c r="A26" s="6" t="s">
        <v>497</v>
      </c>
      <c r="B26" s="6" t="s">
        <v>1098</v>
      </c>
      <c r="C26" s="9" t="s">
        <v>1099</v>
      </c>
      <c r="D26" s="7"/>
      <c r="E26" s="6"/>
      <c r="F26" s="6"/>
      <c r="G26" s="6" t="s">
        <v>79</v>
      </c>
      <c r="H26" s="6" t="s">
        <v>270</v>
      </c>
      <c r="I26" s="6" t="s">
        <v>270</v>
      </c>
      <c r="J26" s="6"/>
      <c r="K26" s="9" t="s">
        <v>159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1"/>
    <col collapsed="false" customWidth="true" hidden="false" outlineLevel="0" max="3" min="3" style="1" width="36"/>
    <col collapsed="false" customWidth="true" hidden="false" outlineLevel="0" max="4" min="4" style="1" width="22.67"/>
    <col collapsed="false" customWidth="true" hidden="false" outlineLevel="0" max="5" min="5" style="1" width="12.11"/>
    <col collapsed="false" customWidth="true" hidden="false" outlineLevel="0" max="6" min="6" style="1" width="15"/>
    <col collapsed="false" customWidth="true" hidden="false" outlineLevel="0" max="7" min="7" style="1" width="17.56"/>
    <col collapsed="false" customWidth="true" hidden="false" outlineLevel="0" max="8" min="8" style="2" width="16.33"/>
    <col collapsed="false" customWidth="true" hidden="false" outlineLevel="0" max="9" min="9" style="1" width="13.33"/>
    <col collapsed="false" customWidth="true" hidden="false" outlineLevel="0" max="10" min="10" style="1" width="14.34"/>
    <col collapsed="false" customWidth="true" hidden="false" outlineLevel="0" max="11" min="11" style="1" width="46.11"/>
    <col collapsed="false" customWidth="false" hidden="false" outlineLevel="0" max="16384" min="12" style="1" width="11.55"/>
  </cols>
  <sheetData>
    <row r="1" customFormat="false" ht="95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3"/>
      <c r="J1" s="5" t="s">
        <v>9</v>
      </c>
      <c r="K1" s="4" t="s">
        <v>10</v>
      </c>
    </row>
    <row r="2" customFormat="false" ht="52.2" hidden="false" customHeight="false" outlineLevel="0" collapsed="false">
      <c r="A2" s="6" t="s">
        <v>11</v>
      </c>
      <c r="B2" s="6" t="s">
        <v>1100</v>
      </c>
      <c r="C2" s="9" t="s">
        <v>1101</v>
      </c>
      <c r="D2" s="7" t="s">
        <v>1102</v>
      </c>
      <c r="E2" s="6"/>
      <c r="F2" s="7"/>
      <c r="G2" s="6" t="s">
        <v>79</v>
      </c>
      <c r="H2" s="31" t="s">
        <v>1103</v>
      </c>
      <c r="I2" s="6" t="s">
        <v>270</v>
      </c>
      <c r="J2" s="6"/>
      <c r="K2" s="9" t="s">
        <v>1104</v>
      </c>
    </row>
    <row r="3" customFormat="false" ht="52.2" hidden="false" customHeight="false" outlineLevel="0" collapsed="false">
      <c r="A3" s="6" t="s">
        <v>497</v>
      </c>
      <c r="B3" s="6" t="s">
        <v>1105</v>
      </c>
      <c r="C3" s="9" t="s">
        <v>1106</v>
      </c>
      <c r="D3" s="7" t="n">
        <v>52103</v>
      </c>
      <c r="E3" s="6"/>
      <c r="F3" s="6"/>
      <c r="G3" s="6" t="s">
        <v>79</v>
      </c>
      <c r="H3" s="31" t="s">
        <v>1103</v>
      </c>
      <c r="I3" s="6" t="s">
        <v>270</v>
      </c>
      <c r="J3" s="6"/>
      <c r="K3" s="9" t="s">
        <v>1104</v>
      </c>
    </row>
    <row r="4" customFormat="false" ht="52.2" hidden="false" customHeight="false" outlineLevel="0" collapsed="false">
      <c r="A4" s="6" t="s">
        <v>497</v>
      </c>
      <c r="B4" s="6" t="s">
        <v>1107</v>
      </c>
      <c r="C4" s="9" t="s">
        <v>1106</v>
      </c>
      <c r="D4" s="7" t="n">
        <v>52103</v>
      </c>
      <c r="E4" s="6"/>
      <c r="F4" s="6"/>
      <c r="G4" s="6" t="s">
        <v>79</v>
      </c>
      <c r="H4" s="31" t="s">
        <v>1103</v>
      </c>
      <c r="I4" s="6" t="s">
        <v>270</v>
      </c>
      <c r="J4" s="6"/>
      <c r="K4" s="9" t="s">
        <v>1104</v>
      </c>
    </row>
    <row r="5" customFormat="false" ht="14.15" hidden="false" customHeight="false" outlineLevel="0" collapsed="false">
      <c r="A5" s="6" t="s">
        <v>11</v>
      </c>
      <c r="B5" s="6" t="s">
        <v>1108</v>
      </c>
      <c r="C5" s="9" t="s">
        <v>1109</v>
      </c>
      <c r="D5" s="7" t="s">
        <v>1110</v>
      </c>
      <c r="E5" s="6" t="n">
        <f aca="false">20</f>
        <v>20</v>
      </c>
      <c r="F5" s="7"/>
      <c r="G5" s="6" t="s">
        <v>125</v>
      </c>
      <c r="H5" s="8" t="n">
        <f aca="false">VLOOKUP(G5,Klausurtage!$A$2:$B$15,2,FALSE())</f>
        <v>46042</v>
      </c>
      <c r="I5" s="6" t="s">
        <v>251</v>
      </c>
      <c r="J5" s="6" t="s">
        <v>1111</v>
      </c>
      <c r="K5" s="9" t="s">
        <v>1112</v>
      </c>
    </row>
    <row r="6" customFormat="false" ht="14.15" hidden="false" customHeight="false" outlineLevel="0" collapsed="false">
      <c r="A6" s="6" t="s">
        <v>11</v>
      </c>
      <c r="B6" s="6" t="s">
        <v>1113</v>
      </c>
      <c r="C6" s="9" t="s">
        <v>1109</v>
      </c>
      <c r="D6" s="7" t="s">
        <v>1110</v>
      </c>
      <c r="E6" s="6" t="n">
        <f aca="false">16+1</f>
        <v>17</v>
      </c>
      <c r="F6" s="7"/>
      <c r="G6" s="6" t="s">
        <v>125</v>
      </c>
      <c r="H6" s="8" t="n">
        <f aca="false">VLOOKUP(G6,Klausurtage!$A$2:$B$15,2,FALSE())</f>
        <v>46042</v>
      </c>
      <c r="I6" s="6" t="s">
        <v>251</v>
      </c>
      <c r="J6" s="6" t="s">
        <v>1114</v>
      </c>
      <c r="K6" s="9" t="s">
        <v>1112</v>
      </c>
    </row>
    <row r="7" customFormat="false" ht="14.15" hidden="false" customHeight="false" outlineLevel="0" collapsed="false">
      <c r="A7" s="6" t="s">
        <v>497</v>
      </c>
      <c r="B7" s="6" t="s">
        <v>1115</v>
      </c>
      <c r="C7" s="9" t="s">
        <v>1116</v>
      </c>
      <c r="D7" s="7" t="s">
        <v>1108</v>
      </c>
      <c r="E7" s="6" t="n">
        <f aca="false">3</f>
        <v>3</v>
      </c>
      <c r="F7" s="7"/>
      <c r="G7" s="6" t="s">
        <v>125</v>
      </c>
      <c r="H7" s="8" t="n">
        <f aca="false">VLOOKUP(G7,Klausurtage!$A$2:$B$15,2,FALSE())</f>
        <v>46042</v>
      </c>
      <c r="I7" s="6" t="s">
        <v>251</v>
      </c>
      <c r="J7" s="6" t="s">
        <v>1114</v>
      </c>
      <c r="K7" s="9" t="s">
        <v>1112</v>
      </c>
    </row>
    <row r="8" customFormat="false" ht="14.15" hidden="false" customHeight="false" outlineLevel="0" collapsed="false">
      <c r="A8" s="6" t="s">
        <v>497</v>
      </c>
      <c r="B8" s="6" t="s">
        <v>1115</v>
      </c>
      <c r="C8" s="9" t="s">
        <v>1116</v>
      </c>
      <c r="D8" s="7" t="s">
        <v>1113</v>
      </c>
      <c r="E8" s="6" t="n">
        <f aca="false">1</f>
        <v>1</v>
      </c>
      <c r="F8" s="7"/>
      <c r="G8" s="6" t="s">
        <v>125</v>
      </c>
      <c r="H8" s="8" t="n">
        <f aca="false">VLOOKUP(G8,Klausurtage!$A$2:$B$15,2,FALSE())</f>
        <v>46042</v>
      </c>
      <c r="I8" s="6" t="s">
        <v>251</v>
      </c>
      <c r="J8" s="6" t="s">
        <v>1111</v>
      </c>
      <c r="K8" s="9" t="s">
        <v>1112</v>
      </c>
    </row>
    <row r="9" customFormat="false" ht="14.15" hidden="false" customHeight="false" outlineLevel="0" collapsed="false">
      <c r="A9" s="6" t="s">
        <v>11</v>
      </c>
      <c r="B9" s="6" t="s">
        <v>1117</v>
      </c>
      <c r="C9" s="9" t="s">
        <v>1118</v>
      </c>
      <c r="D9" s="7" t="s">
        <v>1119</v>
      </c>
      <c r="E9" s="6" t="n">
        <f aca="false">18+1+1+1</f>
        <v>21</v>
      </c>
      <c r="F9" s="7"/>
      <c r="G9" s="6" t="s">
        <v>113</v>
      </c>
      <c r="H9" s="8" t="n">
        <f aca="false">VLOOKUP(G9,Klausurtage!$A$2:$B$15,2,FALSE())</f>
        <v>46049</v>
      </c>
      <c r="I9" s="6" t="s">
        <v>351</v>
      </c>
      <c r="J9" s="6" t="s">
        <v>516</v>
      </c>
      <c r="K9" s="9" t="s">
        <v>225</v>
      </c>
    </row>
    <row r="10" customFormat="false" ht="14.15" hidden="false" customHeight="false" outlineLevel="0" collapsed="false">
      <c r="A10" s="6" t="s">
        <v>497</v>
      </c>
      <c r="B10" s="6" t="s">
        <v>1120</v>
      </c>
      <c r="C10" s="9" t="s">
        <v>381</v>
      </c>
      <c r="D10" s="7" t="s">
        <v>1117</v>
      </c>
      <c r="E10" s="6" t="n">
        <f aca="false">2</f>
        <v>2</v>
      </c>
      <c r="F10" s="7"/>
      <c r="G10" s="6" t="s">
        <v>113</v>
      </c>
      <c r="H10" s="8" t="n">
        <f aca="false">VLOOKUP(G10,Klausurtage!$A$2:$B$15,2,FALSE())</f>
        <v>46049</v>
      </c>
      <c r="I10" s="6" t="s">
        <v>351</v>
      </c>
      <c r="J10" s="6" t="s">
        <v>94</v>
      </c>
      <c r="K10" s="9" t="s">
        <v>225</v>
      </c>
    </row>
    <row r="11" customFormat="false" ht="14.15" hidden="false" customHeight="false" outlineLevel="0" collapsed="false">
      <c r="A11" s="6" t="s">
        <v>11</v>
      </c>
      <c r="B11" s="6" t="s">
        <v>1121</v>
      </c>
      <c r="C11" s="9" t="s">
        <v>1122</v>
      </c>
      <c r="D11" s="7" t="s">
        <v>1123</v>
      </c>
      <c r="E11" s="6" t="n">
        <f aca="false">26+1+1</f>
        <v>28</v>
      </c>
      <c r="F11" s="7"/>
      <c r="G11" s="6" t="s">
        <v>52</v>
      </c>
      <c r="H11" s="8" t="n">
        <f aca="false">VLOOKUP(G11,Klausurtage!$A$2:$B$15,2,FALSE())</f>
        <v>46045</v>
      </c>
      <c r="I11" s="6" t="s">
        <v>1124</v>
      </c>
      <c r="J11" s="6" t="s">
        <v>17</v>
      </c>
      <c r="K11" s="9" t="s">
        <v>99</v>
      </c>
    </row>
    <row r="12" customFormat="false" ht="14.15" hidden="false" customHeight="false" outlineLevel="0" collapsed="false">
      <c r="A12" s="6" t="s">
        <v>497</v>
      </c>
      <c r="B12" s="6" t="s">
        <v>1125</v>
      </c>
      <c r="C12" s="9" t="s">
        <v>1122</v>
      </c>
      <c r="D12" s="7" t="n">
        <v>52102</v>
      </c>
      <c r="E12" s="6" t="n">
        <f aca="false">16+1</f>
        <v>17</v>
      </c>
      <c r="F12" s="6"/>
      <c r="G12" s="6" t="s">
        <v>52</v>
      </c>
      <c r="H12" s="8" t="n">
        <f aca="false">VLOOKUP(G12,Klausurtage!$A$2:$B$15,2,FALSE())</f>
        <v>46045</v>
      </c>
      <c r="I12" s="6" t="s">
        <v>1124</v>
      </c>
      <c r="J12" s="6" t="s">
        <v>17</v>
      </c>
      <c r="K12" s="9" t="s">
        <v>99</v>
      </c>
    </row>
    <row r="13" customFormat="false" ht="14.15" hidden="false" customHeight="false" outlineLevel="0" collapsed="false">
      <c r="A13" s="6" t="s">
        <v>497</v>
      </c>
      <c r="B13" s="6" t="s">
        <v>1126</v>
      </c>
      <c r="C13" s="9" t="s">
        <v>1122</v>
      </c>
      <c r="D13" s="7" t="n">
        <v>52102</v>
      </c>
      <c r="E13" s="6" t="n">
        <f aca="false">4</f>
        <v>4</v>
      </c>
      <c r="F13" s="6"/>
      <c r="G13" s="6" t="s">
        <v>52</v>
      </c>
      <c r="H13" s="8" t="n">
        <f aca="false">VLOOKUP(G13,Klausurtage!$A$2:$B$15,2,FALSE())</f>
        <v>46045</v>
      </c>
      <c r="I13" s="6" t="s">
        <v>1124</v>
      </c>
      <c r="J13" s="6" t="s">
        <v>17</v>
      </c>
      <c r="K13" s="9" t="s">
        <v>99</v>
      </c>
    </row>
    <row r="14" customFormat="false" ht="14.15" hidden="false" customHeight="false" outlineLevel="0" collapsed="false">
      <c r="A14" s="6" t="s">
        <v>11</v>
      </c>
      <c r="B14" s="6" t="s">
        <v>1127</v>
      </c>
      <c r="C14" s="9" t="s">
        <v>1122</v>
      </c>
      <c r="D14" s="7" t="s">
        <v>1123</v>
      </c>
      <c r="E14" s="6" t="n">
        <f aca="false">10</f>
        <v>10</v>
      </c>
      <c r="F14" s="7"/>
      <c r="G14" s="6" t="s">
        <v>52</v>
      </c>
      <c r="H14" s="8" t="n">
        <f aca="false">VLOOKUP(G14,Klausurtage!$A$2:$B$15,2,FALSE())</f>
        <v>46045</v>
      </c>
      <c r="I14" s="6" t="s">
        <v>1124</v>
      </c>
      <c r="J14" s="6" t="s">
        <v>17</v>
      </c>
      <c r="K14" s="9" t="s">
        <v>99</v>
      </c>
    </row>
    <row r="15" customFormat="false" ht="14.15" hidden="false" customHeight="false" outlineLevel="0" collapsed="false">
      <c r="A15" s="6" t="s">
        <v>11</v>
      </c>
      <c r="B15" s="6" t="s">
        <v>1128</v>
      </c>
      <c r="C15" s="9" t="s">
        <v>1129</v>
      </c>
      <c r="D15" s="7" t="s">
        <v>1130</v>
      </c>
      <c r="E15" s="6" t="n">
        <f aca="false">28+1+1</f>
        <v>30</v>
      </c>
      <c r="F15" s="6"/>
      <c r="G15" s="6" t="s">
        <v>113</v>
      </c>
      <c r="H15" s="8" t="n">
        <f aca="false">VLOOKUP(G15,Klausurtage!$A$2:$B$15,2,FALSE())</f>
        <v>46049</v>
      </c>
      <c r="I15" s="6" t="s">
        <v>351</v>
      </c>
      <c r="J15" s="6" t="s">
        <v>338</v>
      </c>
      <c r="K15" s="9" t="s">
        <v>1131</v>
      </c>
    </row>
    <row r="16" customFormat="false" ht="26.85" hidden="false" customHeight="false" outlineLevel="0" collapsed="false">
      <c r="A16" s="6" t="s">
        <v>11</v>
      </c>
      <c r="B16" s="6" t="s">
        <v>1132</v>
      </c>
      <c r="C16" s="9" t="s">
        <v>1133</v>
      </c>
      <c r="D16" s="7" t="s">
        <v>1134</v>
      </c>
      <c r="E16" s="6"/>
      <c r="F16" s="7"/>
      <c r="G16" s="6" t="s">
        <v>79</v>
      </c>
      <c r="H16" s="8" t="s">
        <v>270</v>
      </c>
      <c r="I16" s="6" t="s">
        <v>270</v>
      </c>
      <c r="J16" s="6"/>
      <c r="K16" s="9" t="s">
        <v>1135</v>
      </c>
    </row>
    <row r="17" customFormat="false" ht="26.85" hidden="false" customHeight="false" outlineLevel="0" collapsed="false">
      <c r="A17" s="6" t="s">
        <v>11</v>
      </c>
      <c r="B17" s="6" t="s">
        <v>1132</v>
      </c>
      <c r="C17" s="9" t="s">
        <v>1133</v>
      </c>
      <c r="D17" s="7" t="s">
        <v>1134</v>
      </c>
      <c r="E17" s="6"/>
      <c r="F17" s="7"/>
      <c r="G17" s="6" t="s">
        <v>79</v>
      </c>
      <c r="H17" s="8" t="s">
        <v>270</v>
      </c>
      <c r="I17" s="6" t="s">
        <v>270</v>
      </c>
      <c r="J17" s="6"/>
      <c r="K17" s="9" t="s">
        <v>1136</v>
      </c>
    </row>
    <row r="18" customFormat="false" ht="26.85" hidden="false" customHeight="false" outlineLevel="0" collapsed="false">
      <c r="A18" s="6" t="s">
        <v>11</v>
      </c>
      <c r="B18" s="6" t="s">
        <v>1137</v>
      </c>
      <c r="C18" s="9" t="s">
        <v>1133</v>
      </c>
      <c r="D18" s="7" t="s">
        <v>1134</v>
      </c>
      <c r="E18" s="6"/>
      <c r="F18" s="7"/>
      <c r="G18" s="6" t="s">
        <v>79</v>
      </c>
      <c r="H18" s="8" t="s">
        <v>270</v>
      </c>
      <c r="I18" s="6" t="s">
        <v>270</v>
      </c>
      <c r="J18" s="6"/>
      <c r="K18" s="9" t="s">
        <v>1135</v>
      </c>
    </row>
    <row r="19" customFormat="false" ht="26.85" hidden="false" customHeight="false" outlineLevel="0" collapsed="false">
      <c r="A19" s="6" t="s">
        <v>11</v>
      </c>
      <c r="B19" s="6" t="s">
        <v>1137</v>
      </c>
      <c r="C19" s="9" t="s">
        <v>1133</v>
      </c>
      <c r="D19" s="7" t="s">
        <v>1134</v>
      </c>
      <c r="E19" s="6"/>
      <c r="F19" s="7"/>
      <c r="G19" s="6" t="s">
        <v>79</v>
      </c>
      <c r="H19" s="8" t="s">
        <v>270</v>
      </c>
      <c r="I19" s="6" t="s">
        <v>270</v>
      </c>
      <c r="J19" s="6"/>
      <c r="K19" s="9" t="s">
        <v>1136</v>
      </c>
    </row>
    <row r="20" customFormat="false" ht="13.8" hidden="false" customHeight="false" outlineLevel="0" collapsed="false">
      <c r="A20" s="6" t="s">
        <v>11</v>
      </c>
      <c r="B20" s="6" t="s">
        <v>1138</v>
      </c>
      <c r="C20" s="9" t="s">
        <v>1139</v>
      </c>
      <c r="D20" s="7" t="s">
        <v>1140</v>
      </c>
      <c r="E20" s="6" t="n">
        <f aca="false">28+1</f>
        <v>29</v>
      </c>
      <c r="F20" s="7"/>
      <c r="G20" s="6" t="s">
        <v>65</v>
      </c>
      <c r="H20" s="8" t="n">
        <f aca="false">VLOOKUP(G20,Klausurtage!$A$2:$B$15,2,FALSE())</f>
        <v>46050</v>
      </c>
      <c r="I20" s="6" t="s">
        <v>351</v>
      </c>
      <c r="J20" s="6" t="s">
        <v>338</v>
      </c>
      <c r="K20" s="9" t="s">
        <v>1141</v>
      </c>
    </row>
    <row r="21" customFormat="false" ht="26.85" hidden="false" customHeight="false" outlineLevel="0" collapsed="false">
      <c r="A21" s="6" t="s">
        <v>11</v>
      </c>
      <c r="B21" s="6" t="s">
        <v>1142</v>
      </c>
      <c r="C21" s="9" t="s">
        <v>1143</v>
      </c>
      <c r="D21" s="7" t="s">
        <v>1144</v>
      </c>
      <c r="E21" s="6"/>
      <c r="F21" s="7"/>
      <c r="G21" s="6" t="s">
        <v>79</v>
      </c>
      <c r="H21" s="8" t="s">
        <v>80</v>
      </c>
      <c r="I21" s="6" t="s">
        <v>80</v>
      </c>
      <c r="J21" s="6"/>
      <c r="K21" s="9" t="s">
        <v>748</v>
      </c>
    </row>
    <row r="22" customFormat="false" ht="14.15" hidden="false" customHeight="false" outlineLevel="0" collapsed="false">
      <c r="A22" s="6" t="s">
        <v>11</v>
      </c>
      <c r="B22" s="6" t="s">
        <v>1145</v>
      </c>
      <c r="C22" s="9" t="s">
        <v>1146</v>
      </c>
      <c r="D22" s="7" t="s">
        <v>1147</v>
      </c>
      <c r="E22" s="6"/>
      <c r="F22" s="7"/>
      <c r="G22" s="6" t="s">
        <v>79</v>
      </c>
      <c r="H22" s="8" t="s">
        <v>270</v>
      </c>
      <c r="I22" s="6" t="s">
        <v>270</v>
      </c>
      <c r="J22" s="6"/>
      <c r="K22" s="9" t="s">
        <v>83</v>
      </c>
    </row>
    <row r="23" customFormat="false" ht="14.15" hidden="false" customHeight="false" outlineLevel="0" collapsed="false">
      <c r="A23" s="6" t="s">
        <v>497</v>
      </c>
      <c r="B23" s="6" t="s">
        <v>1148</v>
      </c>
      <c r="C23" s="9" t="s">
        <v>1146</v>
      </c>
      <c r="D23" s="7" t="s">
        <v>1145</v>
      </c>
      <c r="E23" s="6"/>
      <c r="F23" s="7"/>
      <c r="G23" s="6" t="s">
        <v>79</v>
      </c>
      <c r="H23" s="8" t="s">
        <v>270</v>
      </c>
      <c r="I23" s="6" t="s">
        <v>270</v>
      </c>
      <c r="J23" s="6"/>
      <c r="K23" s="9" t="s">
        <v>83</v>
      </c>
    </row>
    <row r="24" customFormat="false" ht="14.15" hidden="false" customHeight="false" outlineLevel="0" collapsed="false">
      <c r="A24" s="6" t="s">
        <v>11</v>
      </c>
      <c r="B24" s="6" t="s">
        <v>1149</v>
      </c>
      <c r="C24" s="9" t="s">
        <v>1146</v>
      </c>
      <c r="D24" s="7"/>
      <c r="E24" s="6"/>
      <c r="F24" s="7"/>
      <c r="G24" s="6" t="s">
        <v>79</v>
      </c>
      <c r="H24" s="8" t="s">
        <v>270</v>
      </c>
      <c r="I24" s="6" t="s">
        <v>270</v>
      </c>
      <c r="J24" s="6"/>
      <c r="K24" s="9" t="s">
        <v>83</v>
      </c>
    </row>
    <row r="25" customFormat="false" ht="14.15" hidden="false" customHeight="false" outlineLevel="0" collapsed="false">
      <c r="A25" s="6" t="s">
        <v>11</v>
      </c>
      <c r="B25" s="6" t="s">
        <v>1150</v>
      </c>
      <c r="C25" s="9" t="s">
        <v>381</v>
      </c>
      <c r="D25" s="7" t="s">
        <v>1151</v>
      </c>
      <c r="E25" s="6" t="n">
        <f aca="false">33+1</f>
        <v>34</v>
      </c>
      <c r="F25" s="7"/>
      <c r="G25" s="6" t="s">
        <v>88</v>
      </c>
      <c r="H25" s="8" t="n">
        <f aca="false">VLOOKUP(G25,Klausurtage!$A$2:$B$15,2,FALSE())</f>
        <v>46051</v>
      </c>
      <c r="I25" s="6" t="s">
        <v>251</v>
      </c>
      <c r="J25" s="6" t="s">
        <v>17</v>
      </c>
      <c r="K25" s="9" t="s">
        <v>1152</v>
      </c>
    </row>
    <row r="26" customFormat="false" ht="14.15" hidden="false" customHeight="false" outlineLevel="0" collapsed="false">
      <c r="A26" s="6" t="s">
        <v>497</v>
      </c>
      <c r="B26" s="6" t="s">
        <v>1153</v>
      </c>
      <c r="C26" s="9" t="s">
        <v>381</v>
      </c>
      <c r="D26" s="7" t="s">
        <v>1150</v>
      </c>
      <c r="E26" s="6" t="n">
        <f aca="false">7</f>
        <v>7</v>
      </c>
      <c r="F26" s="7"/>
      <c r="G26" s="6" t="s">
        <v>88</v>
      </c>
      <c r="H26" s="8" t="n">
        <f aca="false">VLOOKUP(G26,Klausurtage!$A$2:$B$15,2,FALSE())</f>
        <v>46051</v>
      </c>
      <c r="I26" s="6" t="s">
        <v>251</v>
      </c>
      <c r="J26" s="6" t="s">
        <v>17</v>
      </c>
      <c r="K26" s="9" t="s">
        <v>1152</v>
      </c>
    </row>
    <row r="27" customFormat="false" ht="14.15" hidden="false" customHeight="false" outlineLevel="0" collapsed="false">
      <c r="A27" s="6" t="s">
        <v>11</v>
      </c>
      <c r="B27" s="6" t="s">
        <v>1154</v>
      </c>
      <c r="C27" s="9" t="s">
        <v>381</v>
      </c>
      <c r="D27" s="7"/>
      <c r="E27" s="6" t="n">
        <f aca="false">11</f>
        <v>11</v>
      </c>
      <c r="F27" s="7"/>
      <c r="G27" s="6" t="s">
        <v>88</v>
      </c>
      <c r="H27" s="8" t="n">
        <f aca="false">VLOOKUP(G27,Klausurtage!$A$2:$B$15,2,FALSE())</f>
        <v>46051</v>
      </c>
      <c r="I27" s="6" t="s">
        <v>251</v>
      </c>
      <c r="J27" s="6" t="s">
        <v>17</v>
      </c>
      <c r="K27" s="9" t="s">
        <v>1152</v>
      </c>
    </row>
    <row r="28" customFormat="false" ht="26.85" hidden="false" customHeight="false" outlineLevel="0" collapsed="false">
      <c r="A28" s="6" t="s">
        <v>497</v>
      </c>
      <c r="B28" s="6" t="s">
        <v>1155</v>
      </c>
      <c r="C28" s="9" t="s">
        <v>220</v>
      </c>
      <c r="D28" s="7"/>
      <c r="E28" s="6" t="n">
        <f aca="false">1</f>
        <v>1</v>
      </c>
      <c r="F28" s="7"/>
      <c r="G28" s="6" t="s">
        <v>40</v>
      </c>
      <c r="H28" s="8" t="n">
        <f aca="false">VLOOKUP(G28,Klausurtage!$A$2:$B$15,2,FALSE())</f>
        <v>46043</v>
      </c>
      <c r="I28" s="6" t="s">
        <v>351</v>
      </c>
      <c r="J28" s="6" t="s">
        <v>1156</v>
      </c>
      <c r="K28" s="9" t="s">
        <v>1157</v>
      </c>
    </row>
    <row r="29" customFormat="false" ht="26.85" hidden="false" customHeight="false" outlineLevel="0" collapsed="false">
      <c r="A29" s="6" t="s">
        <v>497</v>
      </c>
      <c r="B29" s="6" t="s">
        <v>1158</v>
      </c>
      <c r="C29" s="9" t="s">
        <v>220</v>
      </c>
      <c r="D29" s="7"/>
      <c r="E29" s="6" t="n">
        <f aca="false">0</f>
        <v>0</v>
      </c>
      <c r="F29" s="7"/>
      <c r="G29" s="6" t="s">
        <v>40</v>
      </c>
      <c r="H29" s="8" t="n">
        <f aca="false">VLOOKUP(G29,Klausurtage!$A$2:$B$15,2,FALSE())</f>
        <v>46043</v>
      </c>
      <c r="I29" s="6" t="s">
        <v>351</v>
      </c>
      <c r="J29" s="6"/>
      <c r="K29" s="9" t="s">
        <v>1157</v>
      </c>
    </row>
    <row r="30" customFormat="false" ht="13.8" hidden="false" customHeight="false" outlineLevel="0" collapsed="false">
      <c r="A30" s="6" t="s">
        <v>497</v>
      </c>
      <c r="B30" s="6" t="s">
        <v>1159</v>
      </c>
      <c r="C30" s="9" t="s">
        <v>1160</v>
      </c>
      <c r="D30" s="7"/>
      <c r="E30" s="6" t="n">
        <f aca="false">7</f>
        <v>7</v>
      </c>
      <c r="F30" s="7"/>
      <c r="G30" s="6" t="s">
        <v>65</v>
      </c>
      <c r="H30" s="8" t="n">
        <f aca="false">VLOOKUP(G30,Klausurtage!$A$2:$B$15,2,FALSE())</f>
        <v>46050</v>
      </c>
      <c r="I30" s="6" t="s">
        <v>244</v>
      </c>
      <c r="J30" s="6" t="s">
        <v>519</v>
      </c>
      <c r="K30" s="9" t="s">
        <v>153</v>
      </c>
    </row>
    <row r="31" customFormat="false" ht="13.8" hidden="false" customHeight="false" outlineLevel="0" collapsed="false">
      <c r="A31" s="6" t="s">
        <v>497</v>
      </c>
      <c r="B31" s="6" t="s">
        <v>1161</v>
      </c>
      <c r="C31" s="9" t="s">
        <v>1160</v>
      </c>
      <c r="D31" s="7"/>
      <c r="E31" s="6" t="n">
        <f aca="false">0</f>
        <v>0</v>
      </c>
      <c r="F31" s="7"/>
      <c r="G31" s="6" t="s">
        <v>65</v>
      </c>
      <c r="H31" s="8" t="n">
        <f aca="false">VLOOKUP(G31,Klausurtage!$A$2:$B$15,2,FALSE())</f>
        <v>46050</v>
      </c>
      <c r="I31" s="6" t="s">
        <v>244</v>
      </c>
      <c r="J31" s="6"/>
      <c r="K31" s="9" t="s">
        <v>153</v>
      </c>
    </row>
    <row r="32" customFormat="false" ht="26.85" hidden="false" customHeight="false" outlineLevel="0" collapsed="false">
      <c r="A32" s="6" t="s">
        <v>497</v>
      </c>
      <c r="B32" s="6" t="s">
        <v>1162</v>
      </c>
      <c r="C32" s="9" t="s">
        <v>1163</v>
      </c>
      <c r="D32" s="7"/>
      <c r="E32" s="6"/>
      <c r="F32" s="7"/>
      <c r="G32" s="6" t="s">
        <v>79</v>
      </c>
      <c r="H32" s="8" t="s">
        <v>270</v>
      </c>
      <c r="I32" s="6" t="s">
        <v>270</v>
      </c>
      <c r="J32" s="6"/>
      <c r="K32" s="9" t="s">
        <v>1164</v>
      </c>
    </row>
    <row r="33" customFormat="false" ht="26.85" hidden="false" customHeight="false" outlineLevel="0" collapsed="false">
      <c r="A33" s="6" t="s">
        <v>497</v>
      </c>
      <c r="B33" s="6" t="s">
        <v>1165</v>
      </c>
      <c r="C33" s="9" t="s">
        <v>1166</v>
      </c>
      <c r="D33" s="7"/>
      <c r="E33" s="6"/>
      <c r="F33" s="7"/>
      <c r="G33" s="6" t="s">
        <v>79</v>
      </c>
      <c r="H33" s="8" t="s">
        <v>270</v>
      </c>
      <c r="I33" s="6" t="s">
        <v>270</v>
      </c>
      <c r="J33" s="6"/>
      <c r="K33" s="9" t="s">
        <v>748</v>
      </c>
    </row>
    <row r="34" customFormat="false" ht="14.15" hidden="false" customHeight="false" outlineLevel="0" collapsed="false">
      <c r="A34" s="37" t="n">
        <v>20252</v>
      </c>
      <c r="B34" s="6" t="s">
        <v>1167</v>
      </c>
      <c r="C34" s="9" t="s">
        <v>1168</v>
      </c>
      <c r="D34" s="7" t="s">
        <v>1169</v>
      </c>
      <c r="E34" s="6" t="n">
        <f aca="false">21</f>
        <v>21</v>
      </c>
      <c r="F34" s="7"/>
      <c r="G34" s="6" t="s">
        <v>88</v>
      </c>
      <c r="H34" s="8" t="n">
        <f aca="false">VLOOKUP(G34,Klausurtage!$A$2:$B$15,2,FALSE())</f>
        <v>46051</v>
      </c>
      <c r="I34" s="6" t="s">
        <v>278</v>
      </c>
      <c r="J34" s="6" t="s">
        <v>516</v>
      </c>
      <c r="K34" s="9" t="s">
        <v>1170</v>
      </c>
    </row>
    <row r="35" customFormat="false" ht="14.15" hidden="false" customHeight="false" outlineLevel="0" collapsed="false">
      <c r="A35" s="6" t="s">
        <v>11</v>
      </c>
      <c r="B35" s="6" t="s">
        <v>1171</v>
      </c>
      <c r="C35" s="9" t="s">
        <v>1172</v>
      </c>
      <c r="D35" s="7"/>
      <c r="E35" s="6"/>
      <c r="F35" s="7"/>
      <c r="G35" s="6" t="s">
        <v>79</v>
      </c>
      <c r="H35" s="8" t="s">
        <v>270</v>
      </c>
      <c r="I35" s="6" t="s">
        <v>270</v>
      </c>
      <c r="J35" s="6"/>
      <c r="K35" s="9" t="s">
        <v>1173</v>
      </c>
    </row>
    <row r="36" customFormat="false" ht="14.15" hidden="false" customHeight="false" outlineLevel="0" collapsed="false">
      <c r="A36" s="6" t="s">
        <v>497</v>
      </c>
      <c r="B36" s="6" t="s">
        <v>1174</v>
      </c>
      <c r="C36" s="9" t="s">
        <v>1172</v>
      </c>
      <c r="D36" s="7"/>
      <c r="E36" s="6"/>
      <c r="F36" s="7"/>
      <c r="G36" s="6" t="s">
        <v>79</v>
      </c>
      <c r="H36" s="8" t="s">
        <v>270</v>
      </c>
      <c r="I36" s="6" t="s">
        <v>270</v>
      </c>
      <c r="J36" s="6"/>
      <c r="K36" s="9" t="s">
        <v>1173</v>
      </c>
    </row>
    <row r="37" customFormat="false" ht="14.15" hidden="false" customHeight="false" outlineLevel="0" collapsed="false">
      <c r="A37" s="6" t="s">
        <v>11</v>
      </c>
      <c r="B37" s="6" t="s">
        <v>1175</v>
      </c>
      <c r="C37" s="9" t="s">
        <v>1176</v>
      </c>
      <c r="D37" s="7"/>
      <c r="E37" s="6"/>
      <c r="F37" s="7"/>
      <c r="G37" s="6" t="s">
        <v>79</v>
      </c>
      <c r="H37" s="8" t="s">
        <v>270</v>
      </c>
      <c r="I37" s="6" t="s">
        <v>270</v>
      </c>
      <c r="J37" s="6"/>
      <c r="K37" s="9" t="s">
        <v>1177</v>
      </c>
    </row>
    <row r="38" customFormat="false" ht="26.85" hidden="false" customHeight="false" outlineLevel="0" collapsed="false">
      <c r="A38" s="6" t="s">
        <v>11</v>
      </c>
      <c r="B38" s="6" t="s">
        <v>1178</v>
      </c>
      <c r="C38" s="9" t="s">
        <v>1179</v>
      </c>
      <c r="D38" s="7"/>
      <c r="E38" s="6"/>
      <c r="F38" s="7"/>
      <c r="G38" s="6" t="s">
        <v>79</v>
      </c>
      <c r="H38" s="8" t="s">
        <v>270</v>
      </c>
      <c r="I38" s="6" t="s">
        <v>270</v>
      </c>
      <c r="J38" s="6"/>
      <c r="K38" s="9" t="s">
        <v>1180</v>
      </c>
    </row>
    <row r="39" customFormat="false" ht="26.85" hidden="false" customHeight="false" outlineLevel="0" collapsed="false">
      <c r="A39" s="6" t="s">
        <v>11</v>
      </c>
      <c r="B39" s="6" t="s">
        <v>1181</v>
      </c>
      <c r="C39" s="9" t="s">
        <v>1182</v>
      </c>
      <c r="D39" s="7" t="s">
        <v>1183</v>
      </c>
      <c r="E39" s="6" t="n">
        <f aca="false">19+6</f>
        <v>25</v>
      </c>
      <c r="F39" s="7"/>
      <c r="G39" s="6" t="s">
        <v>40</v>
      </c>
      <c r="H39" s="8" t="n">
        <f aca="false">VLOOKUP(G39,Klausurtage!$A$2:$B$15,2,FALSE())</f>
        <v>46043</v>
      </c>
      <c r="I39" s="6" t="s">
        <v>827</v>
      </c>
      <c r="J39" s="6" t="s">
        <v>338</v>
      </c>
      <c r="K39" s="9" t="s">
        <v>828</v>
      </c>
    </row>
    <row r="40" customFormat="false" ht="26.85" hidden="false" customHeight="false" outlineLevel="0" collapsed="false">
      <c r="A40" s="6" t="s">
        <v>11</v>
      </c>
      <c r="B40" s="6" t="s">
        <v>762</v>
      </c>
      <c r="C40" s="9" t="s">
        <v>1184</v>
      </c>
      <c r="D40" s="7" t="s">
        <v>760</v>
      </c>
      <c r="E40" s="6"/>
      <c r="F40" s="7"/>
      <c r="G40" s="6" t="s">
        <v>79</v>
      </c>
      <c r="H40" s="8" t="s">
        <v>270</v>
      </c>
      <c r="I40" s="6" t="s">
        <v>270</v>
      </c>
      <c r="J40" s="6"/>
      <c r="K40" s="9" t="s">
        <v>748</v>
      </c>
    </row>
    <row r="41" customFormat="false" ht="26.85" hidden="false" customHeight="false" outlineLevel="0" collapsed="false">
      <c r="A41" s="6" t="s">
        <v>11</v>
      </c>
      <c r="B41" s="6" t="s">
        <v>765</v>
      </c>
      <c r="C41" s="6" t="s">
        <v>1185</v>
      </c>
      <c r="D41" s="7" t="s">
        <v>763</v>
      </c>
      <c r="E41" s="6" t="n">
        <v>5</v>
      </c>
      <c r="F41" s="7"/>
      <c r="G41" s="6" t="s">
        <v>79</v>
      </c>
      <c r="H41" s="8" t="s">
        <v>270</v>
      </c>
      <c r="I41" s="6" t="s">
        <v>270</v>
      </c>
      <c r="J41" s="6"/>
      <c r="K41" s="9" t="s">
        <v>766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9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89"/>
    <col collapsed="false" customWidth="true" hidden="false" outlineLevel="0" max="2" min="2" style="1" width="51.89"/>
    <col collapsed="false" customWidth="true" hidden="false" outlineLevel="0" max="3" min="3" style="1" width="34.44"/>
    <col collapsed="false" customWidth="true" hidden="false" outlineLevel="0" max="4" min="4" style="1" width="41.11"/>
    <col collapsed="false" customWidth="true" hidden="false" outlineLevel="0" max="5" min="5" style="1" width="12.11"/>
    <col collapsed="false" customWidth="true" hidden="false" outlineLevel="0" max="6" min="6" style="1" width="15"/>
    <col collapsed="false" customWidth="true" hidden="false" outlineLevel="0" max="7" min="7" style="1" width="17"/>
    <col collapsed="false" customWidth="true" hidden="false" outlineLevel="0" max="8" min="8" style="2" width="14.11"/>
    <col collapsed="false" customWidth="true" hidden="false" outlineLevel="0" max="10" min="9" style="1" width="14.34"/>
    <col collapsed="false" customWidth="true" hidden="false" outlineLevel="0" max="11" min="11" style="1" width="43.67"/>
    <col collapsed="false" customWidth="false" hidden="false" outlineLevel="0" max="16384" min="12" style="1" width="11.55"/>
  </cols>
  <sheetData>
    <row r="1" customFormat="false" ht="60.7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3"/>
      <c r="J1" s="5" t="s">
        <v>9</v>
      </c>
      <c r="K1" s="4" t="s">
        <v>10</v>
      </c>
    </row>
    <row r="2" customFormat="false" ht="39.55" hidden="false" customHeight="false" outlineLevel="0" collapsed="false">
      <c r="A2" s="6" t="s">
        <v>11</v>
      </c>
      <c r="B2" s="6" t="s">
        <v>1186</v>
      </c>
      <c r="C2" s="9" t="s">
        <v>1187</v>
      </c>
      <c r="D2" s="7" t="s">
        <v>1188</v>
      </c>
      <c r="E2" s="6" t="n">
        <f aca="false">21+1+2</f>
        <v>24</v>
      </c>
      <c r="F2" s="7"/>
      <c r="G2" s="6" t="s">
        <v>88</v>
      </c>
      <c r="H2" s="8" t="n">
        <f aca="false">VLOOKUP(G2,Klausurtage!$A$2:$B$15,2,FALSE())</f>
        <v>46051</v>
      </c>
      <c r="I2" s="6" t="s">
        <v>278</v>
      </c>
      <c r="J2" s="6" t="s">
        <v>627</v>
      </c>
      <c r="K2" s="9" t="s">
        <v>1189</v>
      </c>
    </row>
    <row r="3" customFormat="false" ht="26.85" hidden="false" customHeight="false" outlineLevel="0" collapsed="false">
      <c r="A3" s="6" t="s">
        <v>11</v>
      </c>
      <c r="B3" s="6" t="s">
        <v>1190</v>
      </c>
      <c r="C3" s="9" t="s">
        <v>1191</v>
      </c>
      <c r="D3" s="7" t="s">
        <v>1192</v>
      </c>
      <c r="E3" s="6" t="n">
        <f aca="false">18+1</f>
        <v>19</v>
      </c>
      <c r="F3" s="7"/>
      <c r="G3" s="6" t="s">
        <v>125</v>
      </c>
      <c r="H3" s="8" t="n">
        <f aca="false">VLOOKUP(G3,Klausurtage!$A$2:$B$15,2,FALSE())</f>
        <v>46042</v>
      </c>
      <c r="I3" s="6" t="s">
        <v>251</v>
      </c>
      <c r="J3" s="6" t="s">
        <v>92</v>
      </c>
      <c r="K3" s="9" t="s">
        <v>1193</v>
      </c>
    </row>
    <row r="4" customFormat="false" ht="14.15" hidden="false" customHeight="false" outlineLevel="0" collapsed="false">
      <c r="A4" s="6" t="s">
        <v>11</v>
      </c>
      <c r="B4" s="6" t="s">
        <v>1194</v>
      </c>
      <c r="C4" s="9" t="s">
        <v>1195</v>
      </c>
      <c r="D4" s="7"/>
      <c r="E4" s="6"/>
      <c r="F4" s="7"/>
      <c r="G4" s="6" t="s">
        <v>79</v>
      </c>
      <c r="H4" s="6" t="s">
        <v>270</v>
      </c>
      <c r="I4" s="6" t="s">
        <v>270</v>
      </c>
      <c r="J4" s="6"/>
      <c r="K4" s="9" t="s">
        <v>1196</v>
      </c>
    </row>
    <row r="5" customFormat="false" ht="39.55" hidden="false" customHeight="false" outlineLevel="0" collapsed="false">
      <c r="A5" s="6" t="s">
        <v>11</v>
      </c>
      <c r="B5" s="6" t="s">
        <v>1197</v>
      </c>
      <c r="C5" s="9" t="s">
        <v>1198</v>
      </c>
      <c r="D5" s="7" t="s">
        <v>1199</v>
      </c>
      <c r="E5" s="6"/>
      <c r="F5" s="7"/>
      <c r="G5" s="6" t="s">
        <v>79</v>
      </c>
      <c r="H5" s="9" t="s">
        <v>1200</v>
      </c>
      <c r="I5" s="6" t="s">
        <v>270</v>
      </c>
      <c r="J5" s="6"/>
      <c r="K5" s="9" t="s">
        <v>1201</v>
      </c>
    </row>
    <row r="6" customFormat="false" ht="26.85" hidden="false" customHeight="false" outlineLevel="0" collapsed="false">
      <c r="A6" s="6" t="s">
        <v>11</v>
      </c>
      <c r="B6" s="6" t="s">
        <v>1202</v>
      </c>
      <c r="C6" s="9" t="s">
        <v>1203</v>
      </c>
      <c r="D6" s="6"/>
      <c r="E6" s="6"/>
      <c r="F6" s="7"/>
      <c r="G6" s="6" t="s">
        <v>79</v>
      </c>
      <c r="H6" s="9" t="s">
        <v>1200</v>
      </c>
      <c r="I6" s="6" t="s">
        <v>270</v>
      </c>
      <c r="J6" s="6"/>
      <c r="K6" s="9" t="s">
        <v>1204</v>
      </c>
    </row>
    <row r="7" customFormat="false" ht="39.55" hidden="false" customHeight="false" outlineLevel="0" collapsed="false">
      <c r="A7" s="6" t="s">
        <v>11</v>
      </c>
      <c r="B7" s="6" t="s">
        <v>1205</v>
      </c>
      <c r="C7" s="9" t="s">
        <v>1206</v>
      </c>
      <c r="D7" s="6"/>
      <c r="E7" s="6" t="n">
        <f aca="false">19</f>
        <v>19</v>
      </c>
      <c r="F7" s="6"/>
      <c r="G7" s="6" t="s">
        <v>79</v>
      </c>
      <c r="H7" s="9" t="s">
        <v>1207</v>
      </c>
      <c r="I7" s="6" t="s">
        <v>270</v>
      </c>
      <c r="J7" s="6"/>
      <c r="K7" s="9" t="s">
        <v>921</v>
      </c>
    </row>
    <row r="8" customFormat="false" ht="13.8" hidden="false" customHeight="false" outlineLevel="0" collapsed="false">
      <c r="A8" s="6" t="s">
        <v>497</v>
      </c>
      <c r="B8" s="6" t="s">
        <v>1208</v>
      </c>
      <c r="C8" s="9" t="s">
        <v>1209</v>
      </c>
      <c r="D8" s="6"/>
      <c r="E8" s="6"/>
      <c r="F8" s="6"/>
      <c r="G8" s="6" t="s">
        <v>1210</v>
      </c>
      <c r="H8" s="6" t="s">
        <v>1210</v>
      </c>
      <c r="I8" s="6" t="s">
        <v>1210</v>
      </c>
      <c r="J8" s="6"/>
      <c r="K8" s="9" t="s">
        <v>1211</v>
      </c>
    </row>
    <row r="9" customFormat="false" ht="26.85" hidden="false" customHeight="false" outlineLevel="0" collapsed="false">
      <c r="A9" s="6" t="s">
        <v>497</v>
      </c>
      <c r="B9" s="6" t="s">
        <v>1212</v>
      </c>
      <c r="C9" s="9" t="s">
        <v>1213</v>
      </c>
      <c r="D9" s="6"/>
      <c r="E9" s="6"/>
      <c r="F9" s="6"/>
      <c r="G9" s="6" t="s">
        <v>79</v>
      </c>
      <c r="H9" s="6" t="s">
        <v>270</v>
      </c>
      <c r="I9" s="6" t="s">
        <v>270</v>
      </c>
      <c r="J9" s="6"/>
      <c r="K9" s="9" t="s">
        <v>1214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2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34"/>
    <col collapsed="false" customWidth="true" hidden="false" outlineLevel="0" max="2" min="2" style="1" width="58.56"/>
    <col collapsed="false" customWidth="true" hidden="false" outlineLevel="0" max="3" min="3" style="1" width="40.33"/>
    <col collapsed="false" customWidth="true" hidden="false" outlineLevel="0" max="4" min="4" style="1" width="16.33"/>
    <col collapsed="false" customWidth="true" hidden="false" outlineLevel="0" max="5" min="5" style="1" width="12.11"/>
    <col collapsed="false" customWidth="true" hidden="false" outlineLevel="0" max="6" min="6" style="1" width="14.44"/>
    <col collapsed="false" customWidth="true" hidden="false" outlineLevel="0" max="7" min="7" style="1" width="14.67"/>
    <col collapsed="false" customWidth="true" hidden="false" outlineLevel="0" max="8" min="8" style="2" width="13.66"/>
    <col collapsed="false" customWidth="true" hidden="false" outlineLevel="0" max="9" min="9" style="1" width="13.11"/>
    <col collapsed="false" customWidth="true" hidden="false" outlineLevel="0" max="10" min="10" style="1" width="16.33"/>
    <col collapsed="false" customWidth="true" hidden="false" outlineLevel="0" max="11" min="11" style="1" width="48.11"/>
    <col collapsed="false" customWidth="false" hidden="false" outlineLevel="0" max="16384" min="12" style="1" width="11.55"/>
  </cols>
  <sheetData>
    <row r="1" customFormat="false" ht="65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3"/>
      <c r="J1" s="4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1215</v>
      </c>
      <c r="C2" s="6" t="s">
        <v>1216</v>
      </c>
      <c r="D2" s="7" t="n">
        <v>70338</v>
      </c>
      <c r="E2" s="6"/>
      <c r="F2" s="7"/>
      <c r="G2" s="6" t="s">
        <v>79</v>
      </c>
      <c r="H2" s="8" t="s">
        <v>270</v>
      </c>
      <c r="I2" s="6" t="s">
        <v>270</v>
      </c>
      <c r="J2" s="6"/>
      <c r="K2" s="6" t="s">
        <v>1217</v>
      </c>
    </row>
    <row r="3" customFormat="false" ht="26.85" hidden="false" customHeight="false" outlineLevel="0" collapsed="false">
      <c r="A3" s="6" t="s">
        <v>11</v>
      </c>
      <c r="B3" s="6" t="s">
        <v>1218</v>
      </c>
      <c r="C3" s="9" t="s">
        <v>123</v>
      </c>
      <c r="D3" s="7" t="n">
        <v>60102</v>
      </c>
      <c r="E3" s="6"/>
      <c r="F3" s="7"/>
      <c r="G3" s="6" t="s">
        <v>79</v>
      </c>
      <c r="H3" s="8" t="s">
        <v>270</v>
      </c>
      <c r="I3" s="6" t="s">
        <v>270</v>
      </c>
      <c r="J3" s="6"/>
      <c r="K3" s="9" t="s">
        <v>1219</v>
      </c>
    </row>
    <row r="4" customFormat="false" ht="13.8" hidden="false" customHeight="false" outlineLevel="0" collapsed="false">
      <c r="A4" s="6" t="s">
        <v>11</v>
      </c>
      <c r="B4" s="6" t="s">
        <v>1220</v>
      </c>
      <c r="C4" s="9" t="s">
        <v>101</v>
      </c>
      <c r="D4" s="7" t="n">
        <v>60103</v>
      </c>
      <c r="E4" s="6" t="n">
        <f aca="false">30+1</f>
        <v>31</v>
      </c>
      <c r="F4" s="7"/>
      <c r="G4" s="6" t="s">
        <v>27</v>
      </c>
      <c r="H4" s="8" t="n">
        <f aca="false">VLOOKUP(G4,Klausurtage!$A$2:$B$15,2,FALSE())</f>
        <v>46048</v>
      </c>
      <c r="I4" s="8" t="s">
        <v>244</v>
      </c>
      <c r="J4" s="8" t="s">
        <v>166</v>
      </c>
      <c r="K4" s="9" t="s">
        <v>912</v>
      </c>
    </row>
    <row r="5" customFormat="false" ht="26.85" hidden="false" customHeight="false" outlineLevel="0" collapsed="false">
      <c r="A5" s="6" t="s">
        <v>11</v>
      </c>
      <c r="B5" s="6" t="s">
        <v>1221</v>
      </c>
      <c r="C5" s="9" t="s">
        <v>1222</v>
      </c>
      <c r="D5" s="7" t="n">
        <v>60104</v>
      </c>
      <c r="E5" s="6"/>
      <c r="F5" s="7"/>
      <c r="G5" s="6" t="s">
        <v>79</v>
      </c>
      <c r="H5" s="8" t="s">
        <v>270</v>
      </c>
      <c r="I5" s="6" t="s">
        <v>270</v>
      </c>
      <c r="J5" s="6"/>
      <c r="K5" s="9" t="s">
        <v>1223</v>
      </c>
    </row>
    <row r="6" customFormat="false" ht="40.95" hidden="false" customHeight="true" outlineLevel="0" collapsed="false">
      <c r="A6" s="6" t="s">
        <v>11</v>
      </c>
      <c r="B6" s="6" t="s">
        <v>1224</v>
      </c>
      <c r="C6" s="9" t="s">
        <v>1225</v>
      </c>
      <c r="D6" s="54" t="s">
        <v>1226</v>
      </c>
      <c r="E6" s="6" t="n">
        <f aca="false">28+1</f>
        <v>29</v>
      </c>
      <c r="F6" s="54"/>
      <c r="G6" s="6" t="s">
        <v>15</v>
      </c>
      <c r="H6" s="8" t="n">
        <f aca="false">VLOOKUP(G6,Klausurtage!$A$2:$B$15,2,FALSE())</f>
        <v>46041</v>
      </c>
      <c r="I6" s="6" t="s">
        <v>1227</v>
      </c>
      <c r="J6" s="6" t="s">
        <v>338</v>
      </c>
      <c r="K6" s="9" t="s">
        <v>1228</v>
      </c>
    </row>
    <row r="7" customFormat="false" ht="41.4" hidden="false" customHeight="true" outlineLevel="0" collapsed="false">
      <c r="A7" s="6" t="s">
        <v>11</v>
      </c>
      <c r="B7" s="6" t="s">
        <v>1229</v>
      </c>
      <c r="C7" s="9" t="s">
        <v>1230</v>
      </c>
      <c r="D7" s="54" t="s">
        <v>1226</v>
      </c>
      <c r="E7" s="6" t="n">
        <f aca="false">27+1</f>
        <v>28</v>
      </c>
      <c r="F7" s="54"/>
      <c r="G7" s="6" t="s">
        <v>15</v>
      </c>
      <c r="H7" s="8" t="n">
        <f aca="false">VLOOKUP(G7,Klausurtage!$A$2:$B$15,2,FALSE())</f>
        <v>46041</v>
      </c>
      <c r="I7" s="6" t="s">
        <v>1231</v>
      </c>
      <c r="J7" s="6" t="s">
        <v>338</v>
      </c>
      <c r="K7" s="9" t="s">
        <v>1232</v>
      </c>
    </row>
    <row r="8" customFormat="false" ht="26.85" hidden="false" customHeight="false" outlineLevel="0" collapsed="false">
      <c r="A8" s="6" t="s">
        <v>11</v>
      </c>
      <c r="B8" s="6" t="s">
        <v>1233</v>
      </c>
      <c r="C8" s="9" t="s">
        <v>1234</v>
      </c>
      <c r="D8" s="7" t="n">
        <v>60155</v>
      </c>
      <c r="E8" s="6" t="n">
        <f aca="false">30</f>
        <v>30</v>
      </c>
      <c r="F8" s="7"/>
      <c r="G8" s="6" t="s">
        <v>40</v>
      </c>
      <c r="H8" s="8" t="n">
        <f aca="false">VLOOKUP(G8,Klausurtage!$A$2:$B$15,2,FALSE())</f>
        <v>46043</v>
      </c>
      <c r="I8" s="6" t="s">
        <v>278</v>
      </c>
      <c r="J8" s="6" t="s">
        <v>166</v>
      </c>
      <c r="K8" s="9" t="s">
        <v>148</v>
      </c>
    </row>
    <row r="9" customFormat="false" ht="14.15" hidden="false" customHeight="false" outlineLevel="0" collapsed="false">
      <c r="A9" s="6" t="s">
        <v>11</v>
      </c>
      <c r="B9" s="6" t="s">
        <v>1235</v>
      </c>
      <c r="C9" s="9" t="s">
        <v>1236</v>
      </c>
      <c r="D9" s="7" t="n">
        <v>70318</v>
      </c>
      <c r="E9" s="6"/>
      <c r="F9" s="7"/>
      <c r="G9" s="6" t="s">
        <v>79</v>
      </c>
      <c r="H9" s="8" t="s">
        <v>270</v>
      </c>
      <c r="I9" s="6" t="s">
        <v>270</v>
      </c>
      <c r="J9" s="6"/>
      <c r="K9" s="9" t="s">
        <v>1237</v>
      </c>
    </row>
    <row r="10" customFormat="false" ht="14.15" hidden="false" customHeight="false" outlineLevel="0" collapsed="false">
      <c r="A10" s="6" t="s">
        <v>497</v>
      </c>
      <c r="B10" s="6" t="s">
        <v>1235</v>
      </c>
      <c r="C10" s="9" t="s">
        <v>1236</v>
      </c>
      <c r="D10" s="7" t="n">
        <v>70318</v>
      </c>
      <c r="E10" s="6"/>
      <c r="F10" s="7"/>
      <c r="G10" s="6" t="s">
        <v>79</v>
      </c>
      <c r="H10" s="8" t="s">
        <v>270</v>
      </c>
      <c r="I10" s="6" t="s">
        <v>270</v>
      </c>
      <c r="J10" s="6"/>
      <c r="K10" s="9" t="s">
        <v>1238</v>
      </c>
    </row>
    <row r="11" customFormat="false" ht="14.15" hidden="false" customHeight="false" outlineLevel="0" collapsed="false">
      <c r="A11" s="6" t="s">
        <v>497</v>
      </c>
      <c r="B11" s="6" t="s">
        <v>1239</v>
      </c>
      <c r="C11" s="9" t="s">
        <v>150</v>
      </c>
      <c r="D11" s="7" t="n">
        <v>60201</v>
      </c>
      <c r="E11" s="6" t="n">
        <f aca="false">2+1</f>
        <v>3</v>
      </c>
      <c r="F11" s="7"/>
      <c r="G11" s="6" t="s">
        <v>52</v>
      </c>
      <c r="H11" s="8" t="n">
        <f aca="false">VLOOKUP(G11,Klausurtage!$A$2:$B$15,2,FALSE())</f>
        <v>46045</v>
      </c>
      <c r="I11" s="6" t="s">
        <v>244</v>
      </c>
      <c r="J11" s="6" t="s">
        <v>94</v>
      </c>
      <c r="K11" s="9" t="s">
        <v>106</v>
      </c>
    </row>
    <row r="12" customFormat="false" ht="26.85" hidden="false" customHeight="false" outlineLevel="0" collapsed="false">
      <c r="A12" s="6" t="s">
        <v>497</v>
      </c>
      <c r="B12" s="6" t="s">
        <v>1240</v>
      </c>
      <c r="C12" s="9" t="s">
        <v>1241</v>
      </c>
      <c r="D12" s="7" t="s">
        <v>1242</v>
      </c>
      <c r="E12" s="6" t="n">
        <f aca="false">5+1</f>
        <v>6</v>
      </c>
      <c r="F12" s="7"/>
      <c r="G12" s="6" t="s">
        <v>324</v>
      </c>
      <c r="H12" s="8" t="n">
        <f aca="false">VLOOKUP(G12,Klausurtage!$A$2:$B$15,2,FALSE())</f>
        <v>46052</v>
      </c>
      <c r="I12" s="6" t="s">
        <v>244</v>
      </c>
      <c r="J12" s="6" t="s">
        <v>516</v>
      </c>
      <c r="K12" s="9" t="s">
        <v>1243</v>
      </c>
    </row>
    <row r="13" customFormat="false" ht="14.15" hidden="false" customHeight="false" outlineLevel="0" collapsed="false">
      <c r="A13" s="6" t="s">
        <v>497</v>
      </c>
      <c r="B13" s="6" t="s">
        <v>1244</v>
      </c>
      <c r="C13" s="9" t="s">
        <v>179</v>
      </c>
      <c r="D13" s="7" t="n">
        <v>60203</v>
      </c>
      <c r="E13" s="6" t="n">
        <f aca="false">6+2</f>
        <v>8</v>
      </c>
      <c r="F13" s="7"/>
      <c r="G13" s="6" t="s">
        <v>15</v>
      </c>
      <c r="H13" s="8" t="n">
        <f aca="false">VLOOKUP(G13,Klausurtage!$A$2:$B$15,2,FALSE())</f>
        <v>46041</v>
      </c>
      <c r="I13" s="6" t="s">
        <v>251</v>
      </c>
      <c r="J13" s="6" t="s">
        <v>94</v>
      </c>
      <c r="K13" s="9" t="s">
        <v>1245</v>
      </c>
    </row>
    <row r="14" customFormat="false" ht="14.15" hidden="false" customHeight="false" outlineLevel="0" collapsed="false">
      <c r="A14" s="6" t="s">
        <v>497</v>
      </c>
      <c r="B14" s="6" t="s">
        <v>1246</v>
      </c>
      <c r="C14" s="9" t="s">
        <v>1247</v>
      </c>
      <c r="D14" s="7" t="n">
        <v>60204</v>
      </c>
      <c r="E14" s="6" t="n">
        <f aca="false">2</f>
        <v>2</v>
      </c>
      <c r="F14" s="7"/>
      <c r="G14" s="6" t="s">
        <v>65</v>
      </c>
      <c r="H14" s="8" t="n">
        <f aca="false">VLOOKUP(G14,Klausurtage!$A$2:$B$15,2,FALSE())</f>
        <v>46050</v>
      </c>
      <c r="I14" s="6" t="s">
        <v>1248</v>
      </c>
      <c r="J14" s="6" t="s">
        <v>997</v>
      </c>
      <c r="K14" s="9" t="s">
        <v>1249</v>
      </c>
    </row>
    <row r="15" customFormat="false" ht="14.15" hidden="false" customHeight="false" outlineLevel="0" collapsed="false">
      <c r="A15" s="6" t="s">
        <v>497</v>
      </c>
      <c r="B15" s="6" t="s">
        <v>1250</v>
      </c>
      <c r="C15" s="9" t="s">
        <v>1046</v>
      </c>
      <c r="D15" s="7" t="n">
        <v>60256</v>
      </c>
      <c r="E15" s="6" t="n">
        <f aca="false">2</f>
        <v>2</v>
      </c>
      <c r="F15" s="7"/>
      <c r="G15" s="6" t="s">
        <v>40</v>
      </c>
      <c r="H15" s="8" t="n">
        <f aca="false">VLOOKUP(G15,Klausurtage!$A$2:$B$15,2,FALSE())</f>
        <v>46043</v>
      </c>
      <c r="I15" s="6" t="s">
        <v>1248</v>
      </c>
      <c r="J15" s="6" t="s">
        <v>997</v>
      </c>
      <c r="K15" s="9" t="s">
        <v>1251</v>
      </c>
    </row>
    <row r="16" customFormat="false" ht="14.15" hidden="false" customHeight="false" outlineLevel="0" collapsed="false">
      <c r="A16" s="6" t="s">
        <v>497</v>
      </c>
      <c r="B16" s="6" t="s">
        <v>1252</v>
      </c>
      <c r="C16" s="9" t="s">
        <v>604</v>
      </c>
      <c r="D16" s="7" t="n">
        <v>60205</v>
      </c>
      <c r="E16" s="6"/>
      <c r="F16" s="7"/>
      <c r="G16" s="6" t="s">
        <v>79</v>
      </c>
      <c r="H16" s="8" t="s">
        <v>270</v>
      </c>
      <c r="I16" s="6" t="s">
        <v>270</v>
      </c>
      <c r="J16" s="6"/>
      <c r="K16" s="9" t="s">
        <v>1253</v>
      </c>
    </row>
    <row r="17" customFormat="false" ht="26.85" hidden="false" customHeight="false" outlineLevel="0" collapsed="false">
      <c r="A17" s="6" t="s">
        <v>11</v>
      </c>
      <c r="B17" s="6" t="s">
        <v>1254</v>
      </c>
      <c r="C17" s="9" t="s">
        <v>1255</v>
      </c>
      <c r="D17" s="7" t="s">
        <v>1256</v>
      </c>
      <c r="E17" s="6"/>
      <c r="F17" s="7"/>
      <c r="G17" s="6" t="s">
        <v>79</v>
      </c>
      <c r="H17" s="8" t="s">
        <v>270</v>
      </c>
      <c r="I17" s="6" t="s">
        <v>270</v>
      </c>
      <c r="J17" s="6"/>
      <c r="K17" s="9" t="s">
        <v>1257</v>
      </c>
    </row>
    <row r="18" customFormat="false" ht="26.85" hidden="false" customHeight="false" outlineLevel="0" collapsed="false">
      <c r="A18" s="6" t="s">
        <v>11</v>
      </c>
      <c r="B18" s="6" t="s">
        <v>1258</v>
      </c>
      <c r="C18" s="9" t="s">
        <v>1259</v>
      </c>
      <c r="D18" s="7" t="s">
        <v>1260</v>
      </c>
      <c r="E18" s="6" t="n">
        <f aca="false">20+4</f>
        <v>24</v>
      </c>
      <c r="F18" s="7"/>
      <c r="G18" s="6" t="s">
        <v>113</v>
      </c>
      <c r="H18" s="8" t="n">
        <f aca="false">VLOOKUP(G18,Klausurtage!$A$2:$B$15,2,FALSE())</f>
        <v>46049</v>
      </c>
      <c r="I18" s="6" t="s">
        <v>244</v>
      </c>
      <c r="J18" s="6" t="s">
        <v>338</v>
      </c>
      <c r="K18" s="9" t="s">
        <v>1261</v>
      </c>
    </row>
    <row r="19" customFormat="false" ht="39.55" hidden="false" customHeight="false" outlineLevel="0" collapsed="false">
      <c r="A19" s="6" t="s">
        <v>11</v>
      </c>
      <c r="B19" s="6" t="s">
        <v>1262</v>
      </c>
      <c r="C19" s="9" t="s">
        <v>1263</v>
      </c>
      <c r="D19" s="7" t="n">
        <v>60304</v>
      </c>
      <c r="E19" s="6"/>
      <c r="F19" s="7"/>
      <c r="G19" s="6" t="s">
        <v>79</v>
      </c>
      <c r="H19" s="8" t="s">
        <v>1264</v>
      </c>
      <c r="I19" s="6" t="s">
        <v>270</v>
      </c>
      <c r="J19" s="6"/>
      <c r="K19" s="9" t="s">
        <v>1265</v>
      </c>
    </row>
    <row r="20" customFormat="false" ht="13.8" hidden="false" customHeight="false" outlineLevel="0" collapsed="false">
      <c r="A20" s="6" t="s">
        <v>11</v>
      </c>
      <c r="B20" s="6" t="s">
        <v>1266</v>
      </c>
      <c r="C20" s="9" t="s">
        <v>1267</v>
      </c>
      <c r="D20" s="7" t="s">
        <v>1268</v>
      </c>
      <c r="E20" s="6" t="n">
        <f aca="false">20+3</f>
        <v>23</v>
      </c>
      <c r="F20" s="7"/>
      <c r="G20" s="6" t="s">
        <v>88</v>
      </c>
      <c r="H20" s="8" t="n">
        <f aca="false">VLOOKUP(G20,Klausurtage!$A$2:$B$15,2,FALSE())</f>
        <v>46051</v>
      </c>
      <c r="I20" s="6" t="s">
        <v>1269</v>
      </c>
      <c r="J20" s="6" t="s">
        <v>282</v>
      </c>
      <c r="K20" s="9" t="s">
        <v>1257</v>
      </c>
    </row>
    <row r="21" customFormat="false" ht="13.8" hidden="false" customHeight="false" outlineLevel="0" collapsed="false">
      <c r="A21" s="6" t="s">
        <v>11</v>
      </c>
      <c r="B21" s="6" t="s">
        <v>1270</v>
      </c>
      <c r="C21" s="9" t="s">
        <v>1271</v>
      </c>
      <c r="D21" s="7" t="n">
        <v>70348</v>
      </c>
      <c r="E21" s="6"/>
      <c r="F21" s="7"/>
      <c r="G21" s="6" t="s">
        <v>79</v>
      </c>
      <c r="H21" s="8" t="s">
        <v>270</v>
      </c>
      <c r="I21" s="6" t="s">
        <v>270</v>
      </c>
      <c r="J21" s="6"/>
      <c r="K21" s="9" t="s">
        <v>1272</v>
      </c>
    </row>
    <row r="22" customFormat="false" ht="26.85" hidden="false" customHeight="false" outlineLevel="0" collapsed="false">
      <c r="A22" s="6" t="s">
        <v>11</v>
      </c>
      <c r="B22" s="6" t="s">
        <v>1273</v>
      </c>
      <c r="C22" s="9" t="s">
        <v>220</v>
      </c>
      <c r="D22" s="7" t="s">
        <v>1274</v>
      </c>
      <c r="E22" s="6" t="n">
        <f aca="false">18+3</f>
        <v>21</v>
      </c>
      <c r="F22" s="7"/>
      <c r="G22" s="6" t="s">
        <v>103</v>
      </c>
      <c r="H22" s="8" t="n">
        <f aca="false">VLOOKUP(G22,Klausurtage!$A$2:$B$15,2,FALSE())</f>
        <v>46044</v>
      </c>
      <c r="I22" s="6" t="s">
        <v>251</v>
      </c>
      <c r="J22" s="6" t="s">
        <v>627</v>
      </c>
      <c r="K22" s="9" t="s">
        <v>1275</v>
      </c>
    </row>
    <row r="23" customFormat="false" ht="14.15" hidden="false" customHeight="false" outlineLevel="0" collapsed="false">
      <c r="A23" s="6" t="s">
        <v>11</v>
      </c>
      <c r="B23" s="6" t="s">
        <v>1276</v>
      </c>
      <c r="C23" s="9" t="s">
        <v>1277</v>
      </c>
      <c r="D23" s="7" t="n">
        <v>70480</v>
      </c>
      <c r="E23" s="6"/>
      <c r="F23" s="7"/>
      <c r="G23" s="6" t="s">
        <v>79</v>
      </c>
      <c r="H23" s="8" t="s">
        <v>1278</v>
      </c>
      <c r="I23" s="6" t="s">
        <v>270</v>
      </c>
      <c r="J23" s="6"/>
      <c r="K23" s="9" t="s">
        <v>1279</v>
      </c>
    </row>
    <row r="24" customFormat="false" ht="26.85" hidden="false" customHeight="false" outlineLevel="0" collapsed="false">
      <c r="A24" s="6" t="s">
        <v>861</v>
      </c>
      <c r="B24" s="6" t="s">
        <v>1280</v>
      </c>
      <c r="C24" s="9" t="s">
        <v>1281</v>
      </c>
      <c r="D24" s="7" t="n">
        <v>70481</v>
      </c>
      <c r="E24" s="6"/>
      <c r="F24" s="7"/>
      <c r="G24" s="6" t="s">
        <v>79</v>
      </c>
      <c r="H24" s="8" t="s">
        <v>270</v>
      </c>
      <c r="I24" s="6" t="s">
        <v>270</v>
      </c>
      <c r="J24" s="6"/>
      <c r="K24" s="9" t="s">
        <v>1282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2.67"/>
    <col collapsed="false" customWidth="true" hidden="false" outlineLevel="0" max="2" min="2" style="1" width="49.89"/>
    <col collapsed="false" customWidth="true" hidden="false" outlineLevel="0" max="3" min="3" style="1" width="55.55"/>
    <col collapsed="false" customWidth="true" hidden="false" outlineLevel="0" max="4" min="4" style="1" width="52.55"/>
    <col collapsed="false" customWidth="false" hidden="false" outlineLevel="0" max="5" min="5" style="1" width="11.55"/>
    <col collapsed="false" customWidth="true" hidden="false" outlineLevel="0" max="6" min="6" style="1" width="15.44"/>
    <col collapsed="false" customWidth="true" hidden="false" outlineLevel="0" max="7" min="7" style="1" width="51.1"/>
    <col collapsed="false" customWidth="true" hidden="false" outlineLevel="0" max="8" min="8" style="2" width="39.58"/>
    <col collapsed="false" customWidth="true" hidden="false" outlineLevel="0" max="9" min="9" style="1" width="25"/>
    <col collapsed="false" customWidth="true" hidden="false" outlineLevel="0" max="10" min="10" style="1" width="28.45"/>
    <col collapsed="false" customWidth="true" hidden="false" outlineLevel="0" max="11" min="11" style="1" width="55"/>
    <col collapsed="false" customWidth="false" hidden="false" outlineLevel="0" max="16384" min="12" style="1" width="11.55"/>
  </cols>
  <sheetData>
    <row r="1" customFormat="false" ht="63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</row>
    <row r="2" customFormat="false" ht="26.85" hidden="false" customHeight="false" outlineLevel="0" collapsed="false">
      <c r="A2" s="6" t="str">
        <f aca="false">'WR LLB'!A8</f>
        <v>20252</v>
      </c>
      <c r="B2" s="6" t="str">
        <f aca="false">'WR LLB'!B8</f>
        <v>042B-104-P1 (A)</v>
      </c>
      <c r="C2" s="9" t="str">
        <f aca="false">'WR LLB'!C8</f>
        <v>Rechtswissenschaftliches Arbeiten &amp; Propädeutikum (Klausur)</v>
      </c>
      <c r="D2" s="7" t="str">
        <f aca="false">'WR LLB'!D8</f>
        <v>932-2103, 932-2113</v>
      </c>
      <c r="E2" s="6" t="n">
        <f aca="false">'WR LLB'!E8</f>
        <v>44</v>
      </c>
      <c r="F2" s="6" t="n">
        <f aca="false">'WR LLB'!F8</f>
        <v>0</v>
      </c>
      <c r="G2" s="6" t="str">
        <f aca="false">'WR LLB'!G8</f>
        <v>0-Di</v>
      </c>
      <c r="H2" s="8" t="n">
        <f aca="false">'WR LLB'!H8</f>
        <v>45986</v>
      </c>
      <c r="I2" s="6" t="str">
        <f aca="false">'WR LLB'!I8</f>
        <v>12:00 - 13:00</v>
      </c>
      <c r="J2" s="6" t="str">
        <f aca="false">'WR LLB'!J8</f>
        <v>Aula</v>
      </c>
      <c r="K2" s="9" t="str">
        <f aca="false">'WR LLB'!K8</f>
        <v>Walser, Manfred, Herr Prof. Dr. (Prof) - 3.000 SWS;Colpa, Aida, Frau (Ass) - 1.000 SWS</v>
      </c>
      <c r="L2" s="1" t="n">
        <f aca="false">'BWL BSc u. BWL ÖD BSc'!L2</f>
        <v>0</v>
      </c>
      <c r="M2" s="1" t="n">
        <f aca="false">'BWL BSc u. BWL ÖD BSc'!M2</f>
        <v>0</v>
      </c>
    </row>
    <row r="3" customFormat="false" ht="26.85" hidden="false" customHeight="false" outlineLevel="0" collapsed="false">
      <c r="A3" s="6" t="str">
        <f aca="false">'WR LLB'!A10</f>
        <v>20252</v>
      </c>
      <c r="B3" s="6" t="str">
        <f aca="false">'WR LLB'!B10</f>
        <v>042B-104-P1 (B)</v>
      </c>
      <c r="C3" s="9" t="str">
        <f aca="false">'WR LLB'!C10</f>
        <v>Rechtswissenschaftliches Arbeiten &amp; Propädeutikum (Klausur)</v>
      </c>
      <c r="D3" s="7" t="str">
        <f aca="false">'WR LLB'!D10</f>
        <v>932-2103, 932-2113</v>
      </c>
      <c r="E3" s="6" t="n">
        <f aca="false">'WR LLB'!E10</f>
        <v>36</v>
      </c>
      <c r="F3" s="6" t="n">
        <f aca="false">'WR LLB'!F10</f>
        <v>0</v>
      </c>
      <c r="G3" s="6" t="str">
        <f aca="false">'WR LLB'!G10</f>
        <v>0-Di</v>
      </c>
      <c r="H3" s="8" t="n">
        <f aca="false">'WR LLB'!H10</f>
        <v>45986</v>
      </c>
      <c r="I3" s="6" t="str">
        <f aca="false">'WR LLB'!I10</f>
        <v>12:00 - 13:00</v>
      </c>
      <c r="J3" s="6" t="str">
        <f aca="false">'WR LLB'!J10</f>
        <v>Aula</v>
      </c>
      <c r="K3" s="9" t="str">
        <f aca="false">'WR LLB'!K10</f>
        <v>Yilmaz, Rabia, Frau (LBA) - 1.000 SWS;Walser, Manfred, Herr Prof. Dr. (Prof) - 3.000 SWS</v>
      </c>
      <c r="L3" s="1" t="n">
        <f aca="false">'BWL BSc u. BWL ÖD BSc'!L3</f>
        <v>0</v>
      </c>
      <c r="M3" s="1" t="n">
        <f aca="false">'BWL BSc u. BWL ÖD BSc'!M3</f>
        <v>0</v>
      </c>
    </row>
    <row r="4" customFormat="false" ht="13.8" hidden="false" customHeight="false" outlineLevel="0" collapsed="false">
      <c r="A4" s="6" t="str">
        <f aca="false">'WR LLB'!A2</f>
        <v>20252</v>
      </c>
      <c r="B4" s="6" t="str">
        <f aca="false">'WR LLB'!B2</f>
        <v>042B-101 (A)</v>
      </c>
      <c r="C4" s="6" t="str">
        <f aca="false">'WR LLB'!C2</f>
        <v>WPR I - BGB AT</v>
      </c>
      <c r="D4" s="7" t="str">
        <f aca="false">'WR LLB'!D2</f>
        <v>932-2101</v>
      </c>
      <c r="E4" s="6" t="n">
        <f aca="false">'WR LLB'!E2</f>
        <v>44</v>
      </c>
      <c r="F4" s="6" t="n">
        <f aca="false">'WR LLB'!F2</f>
        <v>0</v>
      </c>
      <c r="G4" s="6" t="str">
        <f aca="false">'WR LLB'!G2</f>
        <v>0-Mi</v>
      </c>
      <c r="H4" s="8" t="n">
        <f aca="false">'WR LLB'!H2</f>
        <v>46008</v>
      </c>
      <c r="I4" s="6" t="str">
        <f aca="false">'WR LLB'!I2</f>
        <v>18:15 - 20:15</v>
      </c>
      <c r="J4" s="6" t="str">
        <f aca="false">'WR LLB'!J2</f>
        <v>Aula</v>
      </c>
      <c r="K4" s="6" t="str">
        <f aca="false">'WR LLB'!K2</f>
        <v>Dereli, Melanie, Frau (LBA) - 4.000 SWS</v>
      </c>
      <c r="L4" s="1" t="n">
        <f aca="false">'BWL BSc u. BWL ÖD BSc'!L4</f>
        <v>0</v>
      </c>
      <c r="M4" s="1" t="n">
        <f aca="false">'BWL BSc u. BWL ÖD BSc'!M4</f>
        <v>0</v>
      </c>
    </row>
    <row r="5" customFormat="false" ht="13.8" hidden="false" customHeight="false" outlineLevel="0" collapsed="false">
      <c r="A5" s="6" t="str">
        <f aca="false">'WR LLB'!A3</f>
        <v>20252</v>
      </c>
      <c r="B5" s="6" t="str">
        <f aca="false">'WR LLB'!B3</f>
        <v>042B-101 (B)</v>
      </c>
      <c r="C5" s="6" t="str">
        <f aca="false">'WR LLB'!C3</f>
        <v>WPR I - BGB AT</v>
      </c>
      <c r="D5" s="6" t="n">
        <f aca="false">'WR LLB'!D3</f>
        <v>0</v>
      </c>
      <c r="E5" s="6" t="n">
        <f aca="false">'WR LLB'!E3</f>
        <v>39</v>
      </c>
      <c r="F5" s="6" t="n">
        <f aca="false">'WR LLB'!F3</f>
        <v>0</v>
      </c>
      <c r="G5" s="6" t="str">
        <f aca="false">'WR LLB'!G3</f>
        <v>0-Mi</v>
      </c>
      <c r="H5" s="8" t="n">
        <f aca="false">'WR LLB'!H3</f>
        <v>46008</v>
      </c>
      <c r="I5" s="6" t="str">
        <f aca="false">'WR LLB'!I3</f>
        <v>18:15 - 20:15</v>
      </c>
      <c r="J5" s="6" t="str">
        <f aca="false">'WR LLB'!J3</f>
        <v>Aula</v>
      </c>
      <c r="K5" s="6" t="str">
        <f aca="false">'WR LLB'!K3</f>
        <v>Dereli, Melanie, Frau (LBA) - 3.000 SWS;Burkard, Johannes, Herr Prof. Dr. (Prof) - 1.000 SWS</v>
      </c>
      <c r="L5" s="1" t="n">
        <f aca="false">'BWL BSc u. BWL ÖD BSc'!L5</f>
        <v>0</v>
      </c>
      <c r="M5" s="1" t="n">
        <f aca="false">'BWL BSc u. BWL ÖD BSc'!M5</f>
        <v>0</v>
      </c>
    </row>
    <row r="6" customFormat="false" ht="26.85" hidden="false" customHeight="false" outlineLevel="0" collapsed="false">
      <c r="A6" s="6" t="str">
        <f aca="false">'BWL BSc u. BWL ÖD BSc'!A2</f>
        <v>20252</v>
      </c>
      <c r="B6" s="6" t="str">
        <f aca="false">'BWL BSc u. BWL ÖD BSc'!B2</f>
        <v>021/D43-3151 (A)</v>
      </c>
      <c r="C6" s="6" t="str">
        <f aca="false">'BWL BSc u. BWL ÖD BSc'!C2</f>
        <v>Introduction to Business</v>
      </c>
      <c r="D6" s="7" t="str">
        <f aca="false">'BWL BSc u. BWL ÖD BSc'!D2</f>
        <v>2101, 1101</v>
      </c>
      <c r="E6" s="6" t="n">
        <f aca="false">'BWL BSc u. BWL ÖD BSc'!E2</f>
        <v>56</v>
      </c>
      <c r="F6" s="6" t="n">
        <f aca="false">'BWL BSc u. BWL ÖD BSc'!F2</f>
        <v>0</v>
      </c>
      <c r="G6" s="6" t="str">
        <f aca="false">'BWL BSc u. BWL ÖD BSc'!G2</f>
        <v>1-Mo</v>
      </c>
      <c r="H6" s="8" t="n">
        <f aca="false">'BWL BSc u. BWL ÖD BSc'!H2</f>
        <v>46041</v>
      </c>
      <c r="I6" s="6" t="str">
        <f aca="false">'BWL BSc u. BWL ÖD BSc'!I2</f>
        <v>07:45 - 09:15</v>
      </c>
      <c r="J6" s="6" t="str">
        <f aca="false">'BWL BSc u. BWL ÖD BSc'!J2</f>
        <v>Aula</v>
      </c>
      <c r="K6" s="9" t="str">
        <f aca="false">'BWL BSc u. BWL ÖD BSc'!K2</f>
        <v>Schäfer, Melanie, Frau (LBA) - 0.500 SWS;Weyer, Kira, Frau Prof. Dr. (Prof) - 3.500 SWS</v>
      </c>
      <c r="L6" s="1" t="n">
        <f aca="false">'BWL BSc u. BWL ÖD BSc'!L6</f>
        <v>0</v>
      </c>
      <c r="M6" s="1" t="n">
        <f aca="false">'BWL BSc u. BWL ÖD BSc'!M6</f>
        <v>0</v>
      </c>
    </row>
    <row r="7" customFormat="false" ht="14.15" hidden="false" customHeight="false" outlineLevel="0" collapsed="false">
      <c r="A7" s="6" t="str">
        <f aca="false">'BWL BSc u. BWL ÖD BSc'!A3</f>
        <v>20252</v>
      </c>
      <c r="B7" s="6" t="str">
        <f aca="false">'BWL BSc u. BWL ÖD BSc'!B3</f>
        <v>021-3151 (B)</v>
      </c>
      <c r="C7" s="6" t="str">
        <f aca="false">'BWL BSc u. BWL ÖD BSc'!C3</f>
        <v>Introduction to Business</v>
      </c>
      <c r="D7" s="7" t="n">
        <f aca="false">'BWL BSc u. BWL ÖD BSc'!D3</f>
        <v>0</v>
      </c>
      <c r="E7" s="6" t="n">
        <f aca="false">'BWL BSc u. BWL ÖD BSc'!E3</f>
        <v>47</v>
      </c>
      <c r="F7" s="6" t="n">
        <f aca="false">'BWL BSc u. BWL ÖD BSc'!F3</f>
        <v>0</v>
      </c>
      <c r="G7" s="6" t="str">
        <f aca="false">'BWL BSc u. BWL ÖD BSc'!G3</f>
        <v>1-Mo</v>
      </c>
      <c r="H7" s="8" t="n">
        <f aca="false">'BWL BSc u. BWL ÖD BSc'!H3</f>
        <v>46041</v>
      </c>
      <c r="I7" s="6" t="str">
        <f aca="false">'BWL BSc u. BWL ÖD BSc'!I3</f>
        <v>07:45 - 09:15</v>
      </c>
      <c r="J7" s="6" t="str">
        <f aca="false">'BWL BSc u. BWL ÖD BSc'!J3</f>
        <v>Aula</v>
      </c>
      <c r="K7" s="9" t="str">
        <f aca="false">'BWL BSc u. BWL ÖD BSc'!K3</f>
        <v>Weyer, Kira, Frau Prof. Dr. (Prof) - 4.000 SWS</v>
      </c>
      <c r="L7" s="1" t="n">
        <f aca="false">'BWL BSc u. BWL ÖD BSc'!L7</f>
        <v>0</v>
      </c>
      <c r="M7" s="1" t="n">
        <f aca="false">'BWL BSc u. BWL ÖD BSc'!M7</f>
        <v>0</v>
      </c>
    </row>
    <row r="8" customFormat="false" ht="26.85" hidden="false" customHeight="false" outlineLevel="0" collapsed="false">
      <c r="A8" s="6" t="str">
        <f aca="false">'BWL BSc u. BWL ÖD BSc'!A4</f>
        <v>20252</v>
      </c>
      <c r="B8" s="6" t="str">
        <f aca="false">'BWL BSc u. BWL ÖD BSc'!B4</f>
        <v>021-3151 (C)</v>
      </c>
      <c r="C8" s="6" t="str">
        <f aca="false">'BWL BSc u. BWL ÖD BSc'!C4</f>
        <v>Introduction to Business</v>
      </c>
      <c r="D8" s="7" t="n">
        <f aca="false">'BWL BSc u. BWL ÖD BSc'!D4</f>
        <v>0</v>
      </c>
      <c r="E8" s="6" t="n">
        <f aca="false">'BWL BSc u. BWL ÖD BSc'!E4</f>
        <v>46</v>
      </c>
      <c r="F8" s="6" t="n">
        <f aca="false">'BWL BSc u. BWL ÖD BSc'!F4</f>
        <v>0</v>
      </c>
      <c r="G8" s="6" t="str">
        <f aca="false">'BWL BSc u. BWL ÖD BSc'!G4</f>
        <v>1-Mo</v>
      </c>
      <c r="H8" s="8" t="n">
        <f aca="false">'BWL BSc u. BWL ÖD BSc'!H4</f>
        <v>46041</v>
      </c>
      <c r="I8" s="6" t="str">
        <f aca="false">'BWL BSc u. BWL ÖD BSc'!I4</f>
        <v>07:45 - 09:15</v>
      </c>
      <c r="J8" s="6" t="str">
        <f aca="false">'BWL BSc u. BWL ÖD BSc'!J4</f>
        <v>a3.10, a3.08</v>
      </c>
      <c r="K8" s="9" t="str">
        <f aca="false">'BWL BSc u. BWL ÖD BSc'!K4</f>
        <v>Weyer, Kira, Frau Prof. Dr. (Prof) - 3.500 SWS;Wunder, Andreas, Herr (Ass) - 0.500 SWS</v>
      </c>
      <c r="L8" s="1" t="n">
        <f aca="false">'BWL BSc u. BWL ÖD BSc'!L8</f>
        <v>0</v>
      </c>
      <c r="M8" s="1" t="n">
        <f aca="false">'BWL BSc u. BWL ÖD BSc'!M8</f>
        <v>0</v>
      </c>
    </row>
    <row r="9" customFormat="false" ht="26.85" hidden="false" customHeight="false" outlineLevel="0" collapsed="false">
      <c r="A9" s="6" t="str">
        <f aca="false">'BWL BSc u. BWL ÖD BSc'!A53</f>
        <v>20252</v>
      </c>
      <c r="B9" s="6" t="str">
        <f aca="false">'BWL BSc u. BWL ÖD BSc'!B53</f>
        <v>021/D43-3305 (A)</v>
      </c>
      <c r="C9" s="6" t="str">
        <f aca="false">'BWL BSc u. BWL ÖD BSc'!C53</f>
        <v>Unternehmen &amp; IT (mündliche Prüfung)</v>
      </c>
      <c r="D9" s="6" t="n">
        <f aca="false">'BWL BSc u. BWL ÖD BSc'!D53</f>
        <v>2305.1305</v>
      </c>
      <c r="E9" s="6" t="n">
        <f aca="false">'BWL BSc u. BWL ÖD BSc'!E53</f>
        <v>49</v>
      </c>
      <c r="F9" s="6" t="n">
        <f aca="false">'BWL BSc u. BWL ÖD BSc'!F53</f>
        <v>0</v>
      </c>
      <c r="G9" s="6" t="str">
        <f aca="false">'BWL BSc u. BWL ÖD BSc'!G53</f>
        <v>1-Mo</v>
      </c>
      <c r="H9" s="8" t="n">
        <f aca="false">'BWL BSc u. BWL ÖD BSc'!H53</f>
        <v>46041</v>
      </c>
      <c r="I9" s="6" t="str">
        <f aca="false">'BWL BSc u. BWL ÖD BSc'!I53</f>
        <v>08:00- 18:00</v>
      </c>
      <c r="J9" s="6" t="str">
        <f aca="false">'BWL BSc u. BWL ÖD BSc'!J53</f>
        <v>d0.03</v>
      </c>
      <c r="K9" s="9" t="str">
        <f aca="false">'BWL BSc u. BWL ÖD BSc'!K53</f>
        <v>Kowalczyk, Martin, Herr Prof. Dr. (Prof) - 3.000 SWS;Ambach, Marie, Frau (Ass) - 1.000 SWS</v>
      </c>
      <c r="L9" s="1" t="n">
        <f aca="false">'BWL BSc u. BWL ÖD BSc'!L9</f>
        <v>0</v>
      </c>
      <c r="M9" s="1" t="n">
        <f aca="false">'BWL BSc u. BWL ÖD BSc'!M9</f>
        <v>0</v>
      </c>
    </row>
    <row r="10" customFormat="false" ht="26.85" hidden="false" customHeight="false" outlineLevel="0" collapsed="false">
      <c r="A10" s="6" t="str">
        <f aca="false">'BWL BSc u. BWL ÖD BSc'!A54</f>
        <v>20252</v>
      </c>
      <c r="B10" s="6" t="str">
        <f aca="false">'BWL BSc u. BWL ÖD BSc'!B54</f>
        <v>021-3305 (B)</v>
      </c>
      <c r="C10" s="6" t="str">
        <f aca="false">'BWL BSc u. BWL ÖD BSc'!C54</f>
        <v>Unternehmen &amp; IT (mündliche Prüfung)</v>
      </c>
      <c r="D10" s="6" t="n">
        <f aca="false">'BWL BSc u. BWL ÖD BSc'!D54</f>
        <v>0</v>
      </c>
      <c r="E10" s="6" t="n">
        <f aca="false">'BWL BSc u. BWL ÖD BSc'!E54</f>
        <v>37</v>
      </c>
      <c r="F10" s="6" t="n">
        <f aca="false">'BWL BSc u. BWL ÖD BSc'!F54</f>
        <v>0</v>
      </c>
      <c r="G10" s="6" t="str">
        <f aca="false">'BWL BSc u. BWL ÖD BSc'!G54</f>
        <v>1-Mo</v>
      </c>
      <c r="H10" s="8" t="n">
        <f aca="false">'BWL BSc u. BWL ÖD BSc'!H54</f>
        <v>46041</v>
      </c>
      <c r="I10" s="6" t="str">
        <f aca="false">'BWL BSc u. BWL ÖD BSc'!I54</f>
        <v>08:00- 18:00</v>
      </c>
      <c r="J10" s="6" t="str">
        <f aca="false">'BWL BSc u. BWL ÖD BSc'!J54</f>
        <v>d0.01</v>
      </c>
      <c r="K10" s="9" t="str">
        <f aca="false">'BWL BSc u. BWL ÖD BSc'!K54</f>
        <v>Kemmann, Oliver, Herr Dr. (Prof) - 3.000 SWS;Ambach, Marie, Frau (Ass) - 1.000 SWS</v>
      </c>
      <c r="L10" s="1" t="n">
        <f aca="false">'BWL BSc u. BWL ÖD BSc'!L10</f>
        <v>0</v>
      </c>
      <c r="M10" s="1" t="n">
        <f aca="false">'BWL BSc u. BWL ÖD BSc'!M10</f>
        <v>0</v>
      </c>
    </row>
    <row r="11" customFormat="false" ht="26.85" hidden="false" customHeight="false" outlineLevel="0" collapsed="false">
      <c r="A11" s="6" t="str">
        <f aca="false">'BWL BSc u. BWL ÖD BSc'!A55</f>
        <v>20252</v>
      </c>
      <c r="B11" s="6" t="str">
        <f aca="false">'BWL BSc u. BWL ÖD BSc'!B55</f>
        <v>021-3305 (C)</v>
      </c>
      <c r="C11" s="6" t="str">
        <f aca="false">'BWL BSc u. BWL ÖD BSc'!C55</f>
        <v>Unternehmen &amp; IT (mündliche Prüfung)</v>
      </c>
      <c r="D11" s="6" t="n">
        <f aca="false">'BWL BSc u. BWL ÖD BSc'!D55</f>
        <v>0</v>
      </c>
      <c r="E11" s="6" t="n">
        <f aca="false">'BWL BSc u. BWL ÖD BSc'!E55</f>
        <v>32</v>
      </c>
      <c r="F11" s="6" t="n">
        <f aca="false">'BWL BSc u. BWL ÖD BSc'!F55</f>
        <v>0</v>
      </c>
      <c r="G11" s="6" t="str">
        <f aca="false">'BWL BSc u. BWL ÖD BSc'!G55</f>
        <v>1-Mo</v>
      </c>
      <c r="H11" s="8" t="n">
        <f aca="false">'BWL BSc u. BWL ÖD BSc'!H55</f>
        <v>46041</v>
      </c>
      <c r="I11" s="6" t="str">
        <f aca="false">'BWL BSc u. BWL ÖD BSc'!I55</f>
        <v>08:00- 18:00</v>
      </c>
      <c r="J11" s="6" t="str">
        <f aca="false">'BWL BSc u. BWL ÖD BSc'!J55</f>
        <v>c3.08</v>
      </c>
      <c r="K11" s="9" t="str">
        <f aca="false">'BWL BSc u. BWL ÖD BSc'!K55</f>
        <v>Ambach, Marie, Frau (Ass) - 1.000 SWS;Nirmaier, Timo, Herr (LBA) - 3.000 SWS</v>
      </c>
      <c r="L11" s="1" t="n">
        <f aca="false">'BWL BSc u. BWL ÖD BSc'!L11</f>
        <v>0</v>
      </c>
      <c r="M11" s="1" t="n">
        <f aca="false">'BWL BSc u. BWL ÖD BSc'!M11</f>
        <v>0</v>
      </c>
    </row>
    <row r="12" customFormat="false" ht="14.15" hidden="false" customHeight="false" outlineLevel="0" collapsed="false">
      <c r="A12" s="6" t="str">
        <f aca="false">'WR LLB'!A13</f>
        <v>20252</v>
      </c>
      <c r="B12" s="6" t="str">
        <f aca="false">'WR LLB'!B13</f>
        <v>932-2105/PAN</v>
      </c>
      <c r="C12" s="6" t="str">
        <f aca="false">'WR LLB'!C13</f>
        <v>Grundlagen BWL (PAN)</v>
      </c>
      <c r="D12" s="6" t="n">
        <f aca="false">'WR LLB'!D13</f>
        <v>0</v>
      </c>
      <c r="E12" s="6" t="n">
        <f aca="false">'WR LLB'!E13</f>
        <v>24</v>
      </c>
      <c r="F12" s="6" t="n">
        <f aca="false">'WR LLB'!F13</f>
        <v>0</v>
      </c>
      <c r="G12" s="6" t="str">
        <f aca="false">'WR LLB'!G13</f>
        <v>1-Mo</v>
      </c>
      <c r="H12" s="8" t="n">
        <f aca="false">'WR LLB'!H13</f>
        <v>46041</v>
      </c>
      <c r="I12" s="6" t="str">
        <f aca="false">'WR LLB'!I13</f>
        <v>09:30 - 11:00</v>
      </c>
      <c r="J12" s="6" t="str">
        <f aca="false">'WR LLB'!J13</f>
        <v>c3.10</v>
      </c>
      <c r="K12" s="9" t="str">
        <f aca="false">'WR LLB'!K13</f>
        <v>Carl, Petra, Frau (LBA) - 4.000 SWS</v>
      </c>
      <c r="L12" s="1" t="n">
        <f aca="false">'BWL BSc u. BWL ÖD BSc'!L12</f>
        <v>0</v>
      </c>
      <c r="M12" s="1" t="n">
        <f aca="false">'BWL BSc u. BWL ÖD BSc'!M12</f>
        <v>0</v>
      </c>
    </row>
    <row r="13" customFormat="false" ht="14.15" hidden="false" customHeight="false" outlineLevel="0" collapsed="false">
      <c r="A13" s="6" t="str">
        <f aca="false">'WR LLB'!A24</f>
        <v>20252</v>
      </c>
      <c r="B13" s="6" t="str">
        <f aca="false">'WR LLB'!B24</f>
        <v>932-2201</v>
      </c>
      <c r="C13" s="9" t="str">
        <f aca="false">'WR LLB'!C24</f>
        <v>WPR III - Vertragliche Schuldverhältnisse</v>
      </c>
      <c r="D13" s="7" t="str">
        <f aca="false">'WR LLB'!D24</f>
        <v>042B-201-P</v>
      </c>
      <c r="E13" s="6" t="n">
        <f aca="false">'WR LLB'!E24</f>
        <v>38</v>
      </c>
      <c r="F13" s="28" t="n">
        <f aca="false">'WR LLB'!F24</f>
        <v>0</v>
      </c>
      <c r="G13" s="6" t="str">
        <f aca="false">'WR LLB'!G24</f>
        <v>1-Mo</v>
      </c>
      <c r="H13" s="8" t="n">
        <f aca="false">'WR LLB'!H24</f>
        <v>46041</v>
      </c>
      <c r="I13" s="6" t="str">
        <f aca="false">'WR LLB'!I24</f>
        <v>13:00 - 15:00</v>
      </c>
      <c r="J13" s="6" t="str">
        <f aca="false">'WR LLB'!J24</f>
        <v>Aula</v>
      </c>
      <c r="K13" s="9" t="str">
        <f aca="false">'WR LLB'!K24</f>
        <v>Baldus, Bianca, Frau Prof. Dr. (Prof) - 4.000 SWS</v>
      </c>
      <c r="L13" s="1" t="n">
        <f aca="false">'BWL BSc u. BWL ÖD BSc'!L13</f>
        <v>0</v>
      </c>
      <c r="M13" s="1" t="n">
        <f aca="false">'BWL BSc u. BWL ÖD BSc'!M13</f>
        <v>0</v>
      </c>
    </row>
    <row r="14" customFormat="false" ht="14.15" hidden="false" customHeight="false" outlineLevel="0" collapsed="false">
      <c r="A14" s="6" t="str">
        <f aca="false">'WR LLB'!A25</f>
        <v>20252</v>
      </c>
      <c r="B14" s="6" t="str">
        <f aca="false">'WR LLB'!B25</f>
        <v>932-2201/PAN</v>
      </c>
      <c r="C14" s="9" t="str">
        <f aca="false">'WR LLB'!C25</f>
        <v>WPR III - Vertragliche Schuldverhältnisse (PAN)</v>
      </c>
      <c r="D14" s="7" t="n">
        <f aca="false">'WR LLB'!D25</f>
        <v>0</v>
      </c>
      <c r="E14" s="6" t="n">
        <f aca="false">'WR LLB'!E25</f>
        <v>30</v>
      </c>
      <c r="F14" s="6" t="str">
        <f aca="false">'WR LLB'!F25</f>
        <v>2 Stunden, 10%</v>
      </c>
      <c r="G14" s="6" t="str">
        <f aca="false">'WR LLB'!G25</f>
        <v>1-Mo</v>
      </c>
      <c r="H14" s="8" t="n">
        <f aca="false">'WR LLB'!H25</f>
        <v>46041</v>
      </c>
      <c r="I14" s="6" t="str">
        <f aca="false">'WR LLB'!I25</f>
        <v>13:00 - 15:00</v>
      </c>
      <c r="J14" s="6" t="str">
        <f aca="false">'WR LLB'!J25</f>
        <v>Aula, A0.12</v>
      </c>
      <c r="K14" s="9" t="str">
        <f aca="false">'WR LLB'!K25</f>
        <v>Baldus, Bianca, Frau Prof. Dr. (Prof) - 4.000 SWS</v>
      </c>
      <c r="L14" s="1" t="n">
        <f aca="false">'BWL BSc u. BWL ÖD BSc'!L14</f>
        <v>0</v>
      </c>
      <c r="M14" s="1" t="n">
        <f aca="false">'BWL BSc u. BWL ÖD BSc'!M14</f>
        <v>0</v>
      </c>
    </row>
    <row r="15" customFormat="false" ht="39.55" hidden="false" customHeight="false" outlineLevel="0" collapsed="false">
      <c r="A15" s="6" t="str">
        <f aca="false">'WR LLB'!A45</f>
        <v>20252</v>
      </c>
      <c r="B15" s="6" t="str">
        <f aca="false">'WR LLB'!B45</f>
        <v>932-2355 (A)</v>
      </c>
      <c r="C15" s="6" t="str">
        <f aca="false">'WR LLB'!C45</f>
        <v>International Business Law</v>
      </c>
      <c r="D15" s="7" t="str">
        <f aca="false">'WR LLB'!D45</f>
        <v>1401, 042B-705-PE</v>
      </c>
      <c r="E15" s="6" t="n">
        <f aca="false">'WR LLB'!E45</f>
        <v>34</v>
      </c>
      <c r="F15" s="6" t="n">
        <f aca="false">'WR LLB'!F45</f>
        <v>0</v>
      </c>
      <c r="G15" s="6" t="str">
        <f aca="false">'WR LLB'!G45</f>
        <v>1-Mo</v>
      </c>
      <c r="H15" s="8" t="n">
        <f aca="false">'WR LLB'!H45</f>
        <v>46041</v>
      </c>
      <c r="I15" s="6" t="str">
        <f aca="false">'WR LLB'!I45</f>
        <v>16:00 - 18:00</v>
      </c>
      <c r="J15" s="6" t="str">
        <f aca="false">'WR LLB'!J45</f>
        <v>Aula</v>
      </c>
      <c r="K15" s="9" t="str">
        <f aca="false">'WR LLB'!K45</f>
        <v>Mertgen, Bettina, Frau (LBA) - 1.500 SWS;Antomo, Jennifer, Frau Prof. Dr. (Prof) - 2.000 SWS;Mergler, Jan-Michael, Herr (LBA) - 0.500 SWS</v>
      </c>
      <c r="L15" s="1" t="n">
        <f aca="false">'BWL BSc u. BWL ÖD BSc'!L15</f>
        <v>0</v>
      </c>
      <c r="M15" s="1" t="n">
        <f aca="false">'BWL BSc u. BWL ÖD BSc'!M15</f>
        <v>0</v>
      </c>
    </row>
    <row r="16" customFormat="false" ht="39.55" hidden="false" customHeight="false" outlineLevel="0" collapsed="false">
      <c r="A16" s="6" t="str">
        <f aca="false">'WR LLB'!A46</f>
        <v>20252</v>
      </c>
      <c r="B16" s="6" t="str">
        <f aca="false">'WR LLB'!B46</f>
        <v>932-2355 (B)</v>
      </c>
      <c r="C16" s="6" t="str">
        <f aca="false">'WR LLB'!C46</f>
        <v>International Business Law</v>
      </c>
      <c r="D16" s="7" t="n">
        <f aca="false">'WR LLB'!D46</f>
        <v>0</v>
      </c>
      <c r="E16" s="6" t="n">
        <f aca="false">'WR LLB'!E46</f>
        <v>25</v>
      </c>
      <c r="F16" s="6" t="n">
        <f aca="false">'WR LLB'!F46</f>
        <v>0</v>
      </c>
      <c r="G16" s="6" t="str">
        <f aca="false">'WR LLB'!G46</f>
        <v>1-Mo</v>
      </c>
      <c r="H16" s="8" t="n">
        <f aca="false">'WR LLB'!H46</f>
        <v>46041</v>
      </c>
      <c r="I16" s="6" t="str">
        <f aca="false">'WR LLB'!I46</f>
        <v>16:00 - 18:00</v>
      </c>
      <c r="J16" s="6" t="str">
        <f aca="false">'WR LLB'!J46</f>
        <v>Aula</v>
      </c>
      <c r="K16" s="9" t="str">
        <f aca="false">'WR LLB'!K46</f>
        <v>Antomo, Jennifer, Frau Prof. Dr. (Prof) - 2.000 SWS;Mergler, Jan-Michael, Herr (LBA) - 0.500 SWS;Mertgen, Bettina, Frau (LBA) - 1.500 SWS</v>
      </c>
      <c r="L16" s="1" t="n">
        <f aca="false">'BWL BSc u. BWL ÖD BSc'!L16</f>
        <v>0</v>
      </c>
      <c r="M16" s="1" t="n">
        <f aca="false">'BWL BSc u. BWL ÖD BSc'!M16</f>
        <v>0</v>
      </c>
    </row>
    <row r="17" customFormat="false" ht="26.85" hidden="false" customHeight="false" outlineLevel="0" collapsed="false">
      <c r="A17" s="6" t="str">
        <f aca="false">'WR LLB'!A50</f>
        <v>20252</v>
      </c>
      <c r="B17" s="6" t="str">
        <f aca="false">'WR LLB'!B50</f>
        <v>932-2404</v>
      </c>
      <c r="C17" s="6" t="str">
        <f aca="false">'WR LLB'!C50</f>
        <v>Compliance &amp; Wirtschaftsstrafrecht BT</v>
      </c>
      <c r="D17" s="7" t="str">
        <f aca="false">'WR LLB'!D50</f>
        <v>042B-203-P, 042B-303-P</v>
      </c>
      <c r="E17" s="6" t="n">
        <f aca="false">'WR LLB'!E50</f>
        <v>21</v>
      </c>
      <c r="F17" s="28" t="n">
        <f aca="false">'WR LLB'!F50</f>
        <v>0.5</v>
      </c>
      <c r="G17" s="6" t="str">
        <f aca="false">'WR LLB'!G50</f>
        <v>1-Mo</v>
      </c>
      <c r="H17" s="8" t="n">
        <f aca="false">'WR LLB'!H50</f>
        <v>46041</v>
      </c>
      <c r="I17" s="6" t="str">
        <f aca="false">'WR LLB'!I50</f>
        <v>18:15 - 20:15</v>
      </c>
      <c r="J17" s="6" t="str">
        <f aca="false">'WR LLB'!J50</f>
        <v>A3.10, A0.12</v>
      </c>
      <c r="K17" s="9" t="str">
        <f aca="false">'WR LLB'!K50</f>
        <v>Akyüz, Cansu, Frau (LBA) - 0.500 SWS;Mouaouya, Hassan , Herr (LB)  2.250 SWS;Merschmöller, Lucas, Herr (LBA) - 1.250 SWS</v>
      </c>
      <c r="L17" s="1" t="n">
        <f aca="false">'BWL BSc u. BWL ÖD BSc'!L17</f>
        <v>0</v>
      </c>
      <c r="M17" s="1" t="n">
        <f aca="false">'BWL BSc u. BWL ÖD BSc'!M17</f>
        <v>0</v>
      </c>
    </row>
    <row r="18" customFormat="false" ht="14.15" hidden="false" customHeight="false" outlineLevel="0" collapsed="false">
      <c r="A18" s="6" t="str">
        <f aca="false">'DIM VZ u. dual BSc'!A4</f>
        <v>20252</v>
      </c>
      <c r="B18" s="6" t="str">
        <f aca="false">'DIM VZ u. dual BSc'!B4</f>
        <v>D01/D08-2102</v>
      </c>
      <c r="C18" s="6" t="str">
        <f aca="false">'DIM VZ u. dual BSc'!C4</f>
        <v>Grundlagen Medieninformatik</v>
      </c>
      <c r="D18" s="6" t="n">
        <f aca="false">'DIM VZ u. dual BSc'!D4</f>
        <v>0</v>
      </c>
      <c r="E18" s="6" t="n">
        <f aca="false">'DIM VZ u. dual BSc'!E4</f>
        <v>37</v>
      </c>
      <c r="F18" s="6" t="n">
        <f aca="false">'DIM VZ u. dual BSc'!F4</f>
        <v>0</v>
      </c>
      <c r="G18" s="6" t="str">
        <f aca="false">'DIM VZ u. dual BSc'!G4</f>
        <v>1-Mo</v>
      </c>
      <c r="H18" s="8" t="n">
        <f aca="false">'DIM VZ u. dual BSc'!H4</f>
        <v>46041</v>
      </c>
      <c r="I18" s="6" t="str">
        <f aca="false">'DIM VZ u. dual BSc'!I4</f>
        <v>08:15 - 09:45</v>
      </c>
      <c r="J18" s="6" t="str">
        <f aca="false">'DIM VZ u. dual BSc'!J4</f>
        <v>c3.04, c3.06</v>
      </c>
      <c r="K18" s="9" t="str">
        <f aca="false">'DIM VZ u. dual BSc'!K4</f>
        <v>Hauck, Marcel, Herr Prof. Dr. (Prof) - 3.000 SWS</v>
      </c>
      <c r="L18" s="1" t="n">
        <f aca="false">'BWL BSc u. BWL ÖD BSc'!L18</f>
        <v>0</v>
      </c>
      <c r="M18" s="1" t="n">
        <f aca="false">'BWL BSc u. BWL ÖD BSc'!M18</f>
        <v>0</v>
      </c>
    </row>
    <row r="19" customFormat="false" ht="14.15" hidden="false" customHeight="false" outlineLevel="0" collapsed="false">
      <c r="A19" s="6" t="str">
        <f aca="false">'DIM VZ u. dual BSc'!A23</f>
        <v>w</v>
      </c>
      <c r="B19" s="6" t="str">
        <f aca="false">'DIM VZ u. dual BSc'!B23</f>
        <v>D01/D08-2401</v>
      </c>
      <c r="C19" s="9" t="str">
        <f aca="false">'DIM VZ u. dual BSc'!C23</f>
        <v>User Experience Design</v>
      </c>
      <c r="D19" s="6" t="n">
        <f aca="false">'DIM VZ u. dual BSc'!D23</f>
        <v>0</v>
      </c>
      <c r="E19" s="6" t="n">
        <f aca="false">'DIM VZ u. dual BSc'!E23</f>
        <v>0</v>
      </c>
      <c r="F19" s="6" t="n">
        <f aca="false">'DIM VZ u. dual BSc'!F23</f>
        <v>0</v>
      </c>
      <c r="G19" s="6" t="str">
        <f aca="false">'DIM VZ u. dual BSc'!G23</f>
        <v>1-Mo</v>
      </c>
      <c r="H19" s="8" t="n">
        <f aca="false">'DIM VZ u. dual BSc'!H23</f>
        <v>46041</v>
      </c>
      <c r="I19" s="6" t="str">
        <f aca="false">'DIM VZ u. dual BSc'!I23</f>
        <v>11:00 - 12:30</v>
      </c>
      <c r="J19" s="8" t="n">
        <f aca="false">'DIM VZ u. dual BSc'!J23</f>
        <v>0</v>
      </c>
      <c r="K19" s="9" t="str">
        <f aca="false">'DIM VZ u. dual BSc'!K23</f>
        <v>Bluhm, Jürgen 2,0 SWS; Sieber, Florian 1,0 SWS</v>
      </c>
      <c r="L19" s="1" t="n">
        <f aca="false">'BWL BSc u. BWL ÖD BSc'!L19</f>
        <v>0</v>
      </c>
      <c r="M19" s="1" t="n">
        <f aca="false">'BWL BSc u. BWL ÖD BSc'!M19</f>
        <v>0</v>
      </c>
    </row>
    <row r="20" customFormat="false" ht="14.15" hidden="false" customHeight="false" outlineLevel="0" collapsed="false">
      <c r="A20" s="6" t="str">
        <f aca="false">'IB BSc'!A2</f>
        <v>20252</v>
      </c>
      <c r="B20" s="6" t="str">
        <f aca="false">'IB BSc'!B2</f>
        <v>964B-101</v>
      </c>
      <c r="C20" s="6" t="str">
        <f aca="false">'IB BSc'!C2</f>
        <v>Introduction to Business</v>
      </c>
      <c r="D20" s="6" t="n">
        <f aca="false">'IB BSc'!D2</f>
        <v>0</v>
      </c>
      <c r="E20" s="6" t="n">
        <f aca="false">'IB BSc'!E2</f>
        <v>23</v>
      </c>
      <c r="F20" s="6" t="n">
        <f aca="false">'IB BSc'!F2</f>
        <v>0</v>
      </c>
      <c r="G20" s="6" t="str">
        <f aca="false">'IB BSc'!G2</f>
        <v>1-Mo</v>
      </c>
      <c r="H20" s="8" t="n">
        <f aca="false">'IB BSc'!H2</f>
        <v>46041</v>
      </c>
      <c r="I20" s="6" t="str">
        <f aca="false">'IB BSc'!I2</f>
        <v>07:45 - 09:15</v>
      </c>
      <c r="J20" s="6" t="str">
        <f aca="false">'IB BSc'!J2</f>
        <v>c3.10</v>
      </c>
      <c r="K20" s="9" t="str">
        <f aca="false">'IB BSc'!K2</f>
        <v>Müller, Sebastian, Herr Prof. Dr. (Prof) - 4.000 SWS</v>
      </c>
      <c r="L20" s="1" t="n">
        <f aca="false">'BWL BSc u. BWL ÖD BSc'!L20</f>
        <v>0</v>
      </c>
      <c r="M20" s="1" t="n">
        <f aca="false">'BWL BSc u. BWL ÖD BSc'!M20</f>
        <v>0</v>
      </c>
    </row>
    <row r="21" customFormat="false" ht="14.15" hidden="false" customHeight="false" outlineLevel="0" collapsed="false">
      <c r="A21" s="6" t="str">
        <f aca="false">'WR LLM'!A9</f>
        <v>20252</v>
      </c>
      <c r="B21" s="6" t="str">
        <f aca="false">'WR LLM'!B9</f>
        <v>932-60201</v>
      </c>
      <c r="C21" s="9" t="str">
        <f aca="false">'WR LLM'!C9</f>
        <v>Arbeitsrecht in der Umstrukturierung &amp; Unternehmenskrise</v>
      </c>
      <c r="D21" s="6" t="n">
        <f aca="false">'WR LLM'!D9</f>
        <v>0</v>
      </c>
      <c r="E21" s="6" t="n">
        <f aca="false">'WR LLM'!E9</f>
        <v>19</v>
      </c>
      <c r="F21" s="6" t="str">
        <f aca="false">'WR LLM'!F9</f>
        <v>30 Minuten</v>
      </c>
      <c r="G21" s="6" t="str">
        <f aca="false">'WR LLM'!G9</f>
        <v>1-Mo</v>
      </c>
      <c r="H21" s="8" t="n">
        <f aca="false">'WR LLM'!H9</f>
        <v>46041</v>
      </c>
      <c r="I21" s="6" t="str">
        <f aca="false">'WR LLM'!I9</f>
        <v>09:30 - 11:30</v>
      </c>
      <c r="J21" s="6" t="str">
        <f aca="false">'WR LLM'!J9</f>
        <v>a3.06</v>
      </c>
      <c r="K21" s="9" t="str">
        <f aca="false">'WR LLM'!K9</f>
        <v>Dahm, Katharina, Frau Prof. Dr. (Prof) - 4.000 SWS</v>
      </c>
      <c r="L21" s="1" t="n">
        <f aca="false">'BWL BSc u. BWL ÖD BSc'!L21</f>
        <v>0</v>
      </c>
      <c r="M21" s="1" t="n">
        <f aca="false">'BWL BSc u. BWL ÖD BSc'!M21</f>
        <v>0</v>
      </c>
    </row>
    <row r="22" customFormat="false" ht="14.15" hidden="false" customHeight="false" outlineLevel="0" collapsed="false">
      <c r="A22" s="6" t="str">
        <f aca="false">'Management MSc'!A6</f>
        <v>20252</v>
      </c>
      <c r="B22" s="6" t="str">
        <f aca="false">'Management MSc'!B6</f>
        <v>996-61151</v>
      </c>
      <c r="C22" s="9" t="str">
        <f aca="false">'Management MSc'!C6</f>
        <v>Finance &amp; Accounting</v>
      </c>
      <c r="D22" s="6" t="n">
        <f aca="false">'Management MSc'!D6</f>
        <v>60151</v>
      </c>
      <c r="E22" s="6" t="n">
        <f aca="false">'Management MSc'!E6</f>
        <v>35</v>
      </c>
      <c r="F22" s="6" t="n">
        <f aca="false">'Management MSc'!F6</f>
        <v>0</v>
      </c>
      <c r="G22" s="6" t="str">
        <f aca="false">'Management MSc'!G6</f>
        <v>1-Mo</v>
      </c>
      <c r="H22" s="8" t="n">
        <f aca="false">'Management MSc'!H6</f>
        <v>46041</v>
      </c>
      <c r="I22" s="6" t="str">
        <f aca="false">'Management MSc'!I6</f>
        <v>16:00 - 18:00</v>
      </c>
      <c r="J22" s="6" t="str">
        <f aca="false">'Management MSc'!J6</f>
        <v>c-1.11, c-1.13</v>
      </c>
      <c r="K22" s="9" t="str">
        <f aca="false">'Management MSc'!K6</f>
        <v>Dittmar, Peter, Herr Prof. Dr. (Prof) - 4.000 SWS</v>
      </c>
      <c r="L22" s="1" t="n">
        <f aca="false">'BWL BSc u. BWL ÖD BSc'!L22</f>
        <v>0</v>
      </c>
      <c r="M22" s="1" t="n">
        <f aca="false">'BWL BSc u. BWL ÖD BSc'!M22</f>
        <v>0</v>
      </c>
    </row>
    <row r="23" customFormat="false" ht="26.85" hidden="false" customHeight="false" outlineLevel="0" collapsed="false">
      <c r="A23" s="6" t="str">
        <f aca="false">'BA MSc'!A6</f>
        <v>20252</v>
      </c>
      <c r="B23" s="6" t="str">
        <f aca="false">'BA MSc'!B6</f>
        <v>A23-70111</v>
      </c>
      <c r="C23" s="9" t="str">
        <f aca="false">'BA MSc'!C6</f>
        <v>Grundlagen der BWL &amp; Planspiel (60 Minuten)</v>
      </c>
      <c r="D23" s="6" t="str">
        <f aca="false">'BA MSc'!D6</f>
        <v>60111, 70111 und 60112, 70112 eine Prüfung zusammen</v>
      </c>
      <c r="E23" s="6" t="n">
        <f aca="false">'BA MSc'!E6</f>
        <v>29</v>
      </c>
      <c r="F23" s="6" t="n">
        <f aca="false">'BA MSc'!F6</f>
        <v>0</v>
      </c>
      <c r="G23" s="6" t="str">
        <f aca="false">'BA MSc'!G6</f>
        <v>1-Mo</v>
      </c>
      <c r="H23" s="8" t="n">
        <f aca="false">'BA MSc'!H6</f>
        <v>46041</v>
      </c>
      <c r="I23" s="6" t="str">
        <f aca="false">'BA MSc'!I6</f>
        <v>13:45 - 14:45</v>
      </c>
      <c r="J23" s="6" t="str">
        <f aca="false">'BA MSc'!J6</f>
        <v>a3.10</v>
      </c>
      <c r="K23" s="9" t="str">
        <f aca="false">'BA MSc'!K6</f>
        <v>Wunder, Andreas, Herr (Ass) - 0.500 SWS;Sickmüller, Pia, Frau (LBA) - 1.500 SWS</v>
      </c>
      <c r="L23" s="1" t="n">
        <f aca="false">'BWL BSc u. BWL ÖD BSc'!L25</f>
        <v>0</v>
      </c>
      <c r="M23" s="1" t="n">
        <f aca="false">'BWL BSc u. BWL ÖD BSc'!M25</f>
        <v>0</v>
      </c>
    </row>
    <row r="24" customFormat="false" ht="14.15" hidden="false" customHeight="false" outlineLevel="0" collapsed="false">
      <c r="A24" s="6" t="str">
        <f aca="false">'BA MSc'!A7</f>
        <v>20252</v>
      </c>
      <c r="B24" s="6" t="str">
        <f aca="false">'BA MSc'!B7</f>
        <v>A23-70112</v>
      </c>
      <c r="C24" s="9" t="str">
        <f aca="false">'BA MSc'!C7</f>
        <v>Accounting (30 Minuten)</v>
      </c>
      <c r="D24" s="6" t="str">
        <f aca="false">'BA MSc'!D7</f>
        <v>60111, 70111 und 60112, 70112 eine Prüfung zusammen</v>
      </c>
      <c r="E24" s="6" t="n">
        <f aca="false">'BA MSc'!E7</f>
        <v>28</v>
      </c>
      <c r="F24" s="6" t="n">
        <f aca="false">'BA MSc'!F7</f>
        <v>0</v>
      </c>
      <c r="G24" s="6" t="str">
        <f aca="false">'BA MSc'!G7</f>
        <v>1-Mo</v>
      </c>
      <c r="H24" s="8" t="n">
        <f aca="false">'BA MSc'!H7</f>
        <v>46041</v>
      </c>
      <c r="I24" s="6" t="str">
        <f aca="false">'BA MSc'!I7</f>
        <v>14:45 - 15:15</v>
      </c>
      <c r="J24" s="6" t="str">
        <f aca="false">'BA MSc'!J7</f>
        <v>a3.10</v>
      </c>
      <c r="K24" s="9" t="str">
        <f aca="false">'BA MSc'!K7</f>
        <v>Lorenz, Karsten, Herr Prof. Dr. (Prof) - 1.000 SWS</v>
      </c>
      <c r="L24" s="1" t="n">
        <f aca="false">'BWL BSc u. BWL ÖD BSc'!L26</f>
        <v>0</v>
      </c>
      <c r="M24" s="1" t="n">
        <f aca="false">'BWL BSc u. BWL ÖD BSc'!M26</f>
        <v>0</v>
      </c>
    </row>
    <row r="25" customFormat="false" ht="14.15" hidden="false" customHeight="false" outlineLevel="0" collapsed="false">
      <c r="A25" s="6" t="str">
        <f aca="false">'BA MSc'!A13</f>
        <v>w</v>
      </c>
      <c r="B25" s="6" t="str">
        <f aca="false">'BA MSc'!B13</f>
        <v>A23-70203</v>
      </c>
      <c r="C25" s="9" t="str">
        <f aca="false">'BA MSc'!C13</f>
        <v>Marketing</v>
      </c>
      <c r="D25" s="6" t="n">
        <f aca="false">'BA MSc'!D13</f>
        <v>60203</v>
      </c>
      <c r="E25" s="6" t="n">
        <f aca="false">'BA MSc'!E13</f>
        <v>8</v>
      </c>
      <c r="F25" s="6" t="n">
        <f aca="false">'BA MSc'!F13</f>
        <v>0</v>
      </c>
      <c r="G25" s="6" t="str">
        <f aca="false">'BA MSc'!G13</f>
        <v>1-Mo</v>
      </c>
      <c r="H25" s="8" t="n">
        <f aca="false">'BA MSc'!H13</f>
        <v>46041</v>
      </c>
      <c r="I25" s="6" t="str">
        <f aca="false">'BA MSc'!I13</f>
        <v>09:30 - 11:30</v>
      </c>
      <c r="J25" s="6" t="str">
        <f aca="false">'BA MSc'!J13</f>
        <v>a3.04</v>
      </c>
      <c r="K25" s="9" t="str">
        <f aca="false">'BA MSc'!K13</f>
        <v>Redler, Jörn, Herr Prof. Dr. (Prof) - 3.000 SWS</v>
      </c>
      <c r="L25" s="1" t="n">
        <f aca="false">'BWL BSc u. BWL ÖD BSc'!L27</f>
        <v>0</v>
      </c>
      <c r="M25" s="1" t="n">
        <f aca="false">'BWL BSc u. BWL ÖD BSc'!M27</f>
        <v>0</v>
      </c>
    </row>
    <row r="26" customFormat="false" ht="26.85" hidden="false" customHeight="false" outlineLevel="0" collapsed="false">
      <c r="A26" s="6" t="str">
        <f aca="false">'BWL BSc u. BWL ÖD BSc'!A37</f>
        <v>20252</v>
      </c>
      <c r="B26" s="6" t="str">
        <f aca="false">'BWL BSc u. BWL ÖD BSc'!B37</f>
        <v>021/D43-3206 (A)</v>
      </c>
      <c r="C26" s="6" t="str">
        <f aca="false">'BWL BSc u. BWL ÖD BSc'!C37</f>
        <v>Personalmanagement &amp; Organisation</v>
      </c>
      <c r="D26" s="7" t="str">
        <f aca="false">'BWL BSc u. BWL ÖD BSc'!D37</f>
        <v>2206, 1401</v>
      </c>
      <c r="E26" s="6" t="n">
        <f aca="false">'BWL BSc u. BWL ÖD BSc'!E37</f>
        <v>41</v>
      </c>
      <c r="F26" s="6" t="n">
        <f aca="false">'BWL BSc u. BWL ÖD BSc'!F37</f>
        <v>0</v>
      </c>
      <c r="G26" s="6" t="str">
        <f aca="false">'BWL BSc u. BWL ÖD BSc'!G37</f>
        <v>1-Di</v>
      </c>
      <c r="H26" s="8" t="n">
        <f aca="false">'BWL BSc u. BWL ÖD BSc'!H37</f>
        <v>46042</v>
      </c>
      <c r="I26" s="6" t="str">
        <f aca="false">'BWL BSc u. BWL ÖD BSc'!I37</f>
        <v>11:45 - 13:15</v>
      </c>
      <c r="J26" s="6" t="str">
        <f aca="false">'BWL BSc u. BWL ÖD BSc'!J37</f>
        <v>Aula</v>
      </c>
      <c r="K26" s="9" t="str">
        <f aca="false">'BWL BSc u. BWL ÖD BSc'!K37</f>
        <v>Schmitt, Uwe, Herr (LBA) - 3.000 SWS;Kaufmann, Michael, Herr Prof. Dr. (Prof) - 1.000 SWS</v>
      </c>
      <c r="L26" s="1" t="n">
        <f aca="false">'BWL BSc u. BWL ÖD BSc'!L28</f>
        <v>0</v>
      </c>
      <c r="M26" s="1" t="n">
        <f aca="false">'BWL BSc u. BWL ÖD BSc'!M28</f>
        <v>0</v>
      </c>
    </row>
    <row r="27" customFormat="false" ht="14.15" hidden="false" customHeight="false" outlineLevel="0" collapsed="false">
      <c r="A27" s="6" t="str">
        <f aca="false">'BWL BSc u. BWL ÖD BSc'!A38</f>
        <v>20252</v>
      </c>
      <c r="B27" s="6" t="str">
        <f aca="false">'BWL BSc u. BWL ÖD BSc'!B38</f>
        <v>021-3206 (B)</v>
      </c>
      <c r="C27" s="6" t="str">
        <f aca="false">'BWL BSc u. BWL ÖD BSc'!C38</f>
        <v>Personalmanagement &amp; Organisation</v>
      </c>
      <c r="D27" s="7" t="n">
        <f aca="false">'BWL BSc u. BWL ÖD BSc'!D38</f>
        <v>0</v>
      </c>
      <c r="E27" s="6" t="n">
        <f aca="false">'BWL BSc u. BWL ÖD BSc'!E38</f>
        <v>33</v>
      </c>
      <c r="F27" s="6" t="n">
        <f aca="false">'BWL BSc u. BWL ÖD BSc'!F38</f>
        <v>0</v>
      </c>
      <c r="G27" s="6" t="str">
        <f aca="false">'BWL BSc u. BWL ÖD BSc'!G38</f>
        <v>1-Di</v>
      </c>
      <c r="H27" s="8" t="n">
        <f aca="false">'BWL BSc u. BWL ÖD BSc'!H38</f>
        <v>46042</v>
      </c>
      <c r="I27" s="6" t="str">
        <f aca="false">'BWL BSc u. BWL ÖD BSc'!I38</f>
        <v>11:45 - 13:15</v>
      </c>
      <c r="J27" s="6" t="str">
        <f aca="false">'BWL BSc u. BWL ÖD BSc'!J38</f>
        <v>Aula</v>
      </c>
      <c r="K27" s="9" t="str">
        <f aca="false">'BWL BSc u. BWL ÖD BSc'!K38</f>
        <v>Koeder, Kurt, Herr Prof. Dr. (Prof) - 4.000 SWS</v>
      </c>
      <c r="L27" s="1" t="n">
        <f aca="false">'BWL BSc u. BWL ÖD BSc'!L29</f>
        <v>0</v>
      </c>
      <c r="M27" s="1" t="n">
        <f aca="false">'BWL BSc u. BWL ÖD BSc'!M29</f>
        <v>0</v>
      </c>
    </row>
    <row r="28" customFormat="false" ht="14.15" hidden="false" customHeight="false" outlineLevel="0" collapsed="false">
      <c r="A28" s="6" t="str">
        <f aca="false">'BWL BSc u. BWL ÖD BSc'!A39</f>
        <v>20252</v>
      </c>
      <c r="B28" s="6" t="str">
        <f aca="false">'BWL BSc u. BWL ÖD BSc'!B39</f>
        <v>021-3206 (C)</v>
      </c>
      <c r="C28" s="6" t="str">
        <f aca="false">'BWL BSc u. BWL ÖD BSc'!C39</f>
        <v>Personalmanagement &amp; Organisation</v>
      </c>
      <c r="D28" s="6" t="n">
        <f aca="false">'BWL BSc u. BWL ÖD BSc'!D39</f>
        <v>0</v>
      </c>
      <c r="E28" s="6" t="n">
        <f aca="false">'BWL BSc u. BWL ÖD BSc'!E39</f>
        <v>32</v>
      </c>
      <c r="F28" s="6" t="n">
        <f aca="false">'BWL BSc u. BWL ÖD BSc'!F39</f>
        <v>0</v>
      </c>
      <c r="G28" s="6" t="str">
        <f aca="false">'BWL BSc u. BWL ÖD BSc'!G39</f>
        <v>1-Di</v>
      </c>
      <c r="H28" s="8" t="n">
        <f aca="false">'BWL BSc u. BWL ÖD BSc'!H39</f>
        <v>46042</v>
      </c>
      <c r="I28" s="6" t="str">
        <f aca="false">'BWL BSc u. BWL ÖD BSc'!I39</f>
        <v>11:45 - 13:15</v>
      </c>
      <c r="J28" s="6" t="str">
        <f aca="false">'BWL BSc u. BWL ÖD BSc'!J39</f>
        <v>Aula</v>
      </c>
      <c r="K28" s="9" t="str">
        <f aca="false">'BWL BSc u. BWL ÖD BSc'!K39</f>
        <v>Strobel, Maria, Frau Prof. Dr. (Prof) - 4.000 SWS</v>
      </c>
      <c r="L28" s="1" t="n">
        <f aca="false">'BWL BSc u. BWL ÖD BSc'!L30</f>
        <v>0</v>
      </c>
      <c r="M28" s="1" t="n">
        <f aca="false">'BWL BSc u. BWL ÖD BSc'!M30</f>
        <v>0</v>
      </c>
    </row>
    <row r="29" customFormat="false" ht="14.15" hidden="false" customHeight="false" outlineLevel="0" collapsed="false">
      <c r="A29" s="6" t="str">
        <f aca="false">'BWL BSc u. BWL ÖD BSc'!A62</f>
        <v>20252</v>
      </c>
      <c r="B29" s="6" t="str">
        <f aca="false">'BWL BSc u. BWL ÖD BSc'!B62</f>
        <v>021/D43-3401 (I)</v>
      </c>
      <c r="C29" s="6" t="str">
        <f aca="false">'BWL BSc u. BWL ÖD BSc'!C62</f>
        <v>Makroökonomie</v>
      </c>
      <c r="D29" s="6" t="n">
        <f aca="false">'BWL BSc u. BWL ÖD BSc'!D62</f>
        <v>2401.1404</v>
      </c>
      <c r="E29" s="6" t="n">
        <f aca="false">'BWL BSc u. BWL ÖD BSc'!E62</f>
        <v>39</v>
      </c>
      <c r="F29" s="6" t="n">
        <f aca="false">'BWL BSc u. BWL ÖD BSc'!F62</f>
        <v>0</v>
      </c>
      <c r="G29" s="6" t="str">
        <f aca="false">'BWL BSc u. BWL ÖD BSc'!G62</f>
        <v>1-Di</v>
      </c>
      <c r="H29" s="8" t="n">
        <f aca="false">'BWL BSc u. BWL ÖD BSc'!H62</f>
        <v>46042</v>
      </c>
      <c r="I29" s="6" t="str">
        <f aca="false">'BWL BSc u. BWL ÖD BSc'!I62</f>
        <v>07:45 - 09:15</v>
      </c>
      <c r="J29" s="6" t="str">
        <f aca="false">'BWL BSc u. BWL ÖD BSc'!J62</f>
        <v>Aula</v>
      </c>
      <c r="K29" s="9" t="str">
        <f aca="false">'BWL BSc u. BWL ÖD BSc'!K62</f>
        <v>Kulessa, Margareta, Frau Prof. Dr. (Prof) - 4.000 SWS</v>
      </c>
      <c r="L29" s="1" t="n">
        <f aca="false">'BWL BSc u. BWL ÖD BSc'!L31</f>
        <v>0</v>
      </c>
      <c r="M29" s="1" t="n">
        <f aca="false">'BWL BSc u. BWL ÖD BSc'!M31</f>
        <v>0</v>
      </c>
    </row>
    <row r="30" customFormat="false" ht="14.15" hidden="false" customHeight="false" outlineLevel="0" collapsed="false">
      <c r="A30" s="6" t="str">
        <f aca="false">'BWL BSc u. BWL ÖD BSc'!A63</f>
        <v>20252</v>
      </c>
      <c r="B30" s="6" t="str">
        <f aca="false">'BWL BSc u. BWL ÖD BSc'!B63</f>
        <v>021/D43-3401 (II)</v>
      </c>
      <c r="C30" s="6" t="str">
        <f aca="false">'BWL BSc u. BWL ÖD BSc'!C63</f>
        <v>Makroökonomie</v>
      </c>
      <c r="D30" s="6" t="n">
        <f aca="false">'BWL BSc u. BWL ÖD BSc'!D63</f>
        <v>0</v>
      </c>
      <c r="E30" s="6" t="n">
        <f aca="false">'BWL BSc u. BWL ÖD BSc'!E63</f>
        <v>41</v>
      </c>
      <c r="F30" s="6" t="n">
        <f aca="false">'BWL BSc u. BWL ÖD BSc'!F63</f>
        <v>0</v>
      </c>
      <c r="G30" s="6" t="str">
        <f aca="false">'BWL BSc u. BWL ÖD BSc'!G63</f>
        <v>1-Di</v>
      </c>
      <c r="H30" s="8" t="n">
        <f aca="false">'BWL BSc u. BWL ÖD BSc'!H63</f>
        <v>46042</v>
      </c>
      <c r="I30" s="6" t="str">
        <f aca="false">'BWL BSc u. BWL ÖD BSc'!I63</f>
        <v>07:45 - 09:15</v>
      </c>
      <c r="J30" s="6" t="str">
        <f aca="false">'BWL BSc u. BWL ÖD BSc'!J63</f>
        <v>Aula</v>
      </c>
      <c r="K30" s="9" t="str">
        <f aca="false">'BWL BSc u. BWL ÖD BSc'!K63</f>
        <v>Kulessa, Margareta, Frau Prof. Dr. (Prof) - 4.000 SWS</v>
      </c>
      <c r="L30" s="1" t="n">
        <f aca="false">'BWL BSc u. BWL ÖD BSc'!L32</f>
        <v>0</v>
      </c>
      <c r="M30" s="1" t="n">
        <f aca="false">'BWL BSc u. BWL ÖD BSc'!M32</f>
        <v>0</v>
      </c>
    </row>
    <row r="31" customFormat="false" ht="14.15" hidden="false" customHeight="false" outlineLevel="0" collapsed="false">
      <c r="A31" s="6" t="str">
        <f aca="false">'BWL BSc u. BWL ÖD BSc'!A64</f>
        <v>20252</v>
      </c>
      <c r="B31" s="6" t="str">
        <f aca="false">'BWL BSc u. BWL ÖD BSc'!B64</f>
        <v>021/D43-3401 (III)</v>
      </c>
      <c r="C31" s="6" t="str">
        <f aca="false">'BWL BSc u. BWL ÖD BSc'!C64</f>
        <v>Makroökonomie</v>
      </c>
      <c r="D31" s="6" t="n">
        <f aca="false">'BWL BSc u. BWL ÖD BSc'!D64</f>
        <v>0</v>
      </c>
      <c r="E31" s="6" t="n">
        <f aca="false">'BWL BSc u. BWL ÖD BSc'!E64</f>
        <v>18</v>
      </c>
      <c r="F31" s="6" t="n">
        <f aca="false">'BWL BSc u. BWL ÖD BSc'!F64</f>
        <v>0</v>
      </c>
      <c r="G31" s="6" t="str">
        <f aca="false">'BWL BSc u. BWL ÖD BSc'!G64</f>
        <v>1-Di</v>
      </c>
      <c r="H31" s="8" t="n">
        <f aca="false">'BWL BSc u. BWL ÖD BSc'!H64</f>
        <v>46042</v>
      </c>
      <c r="I31" s="6" t="str">
        <f aca="false">'BWL BSc u. BWL ÖD BSc'!I64</f>
        <v>07:45 - 09:15</v>
      </c>
      <c r="J31" s="6" t="str">
        <f aca="false">'BWL BSc u. BWL ÖD BSc'!J64</f>
        <v>Aula</v>
      </c>
      <c r="K31" s="9" t="str">
        <f aca="false">'BWL BSc u. BWL ÖD BSc'!K64</f>
        <v>Spengler, Hannes, Herr Prof. Dr. (Prof) - 4.000 SWS</v>
      </c>
      <c r="L31" s="1" t="n">
        <f aca="false">'BWL BSc u. BWL ÖD BSc'!L33</f>
        <v>0</v>
      </c>
      <c r="M31" s="1" t="n">
        <f aca="false">'BWL BSc u. BWL ÖD BSc'!M33</f>
        <v>0</v>
      </c>
    </row>
    <row r="32" customFormat="false" ht="14.15" hidden="false" customHeight="false" outlineLevel="0" collapsed="false">
      <c r="A32" s="6" t="str">
        <f aca="false">'WR LLB'!A26</f>
        <v>20252</v>
      </c>
      <c r="B32" s="6" t="str">
        <f aca="false">'WR LLB'!B26</f>
        <v>932-2202</v>
      </c>
      <c r="C32" s="9" t="str">
        <f aca="false">'WR LLB'!C26</f>
        <v>WPR IV - Gesetzliche Schuldverhältnisse</v>
      </c>
      <c r="D32" s="7" t="str">
        <f aca="false">'WR LLB'!D26</f>
        <v>042B-301-P</v>
      </c>
      <c r="E32" s="6" t="n">
        <f aca="false">'WR LLB'!E26</f>
        <v>33</v>
      </c>
      <c r="F32" s="28" t="n">
        <f aca="false">'WR LLB'!F26</f>
        <v>0</v>
      </c>
      <c r="G32" s="6" t="str">
        <f aca="false">'WR LLB'!G26</f>
        <v>1-Di</v>
      </c>
      <c r="H32" s="8" t="n">
        <f aca="false">'WR LLB'!H26</f>
        <v>46042</v>
      </c>
      <c r="I32" s="6" t="str">
        <f aca="false">'WR LLB'!I26</f>
        <v>09:30 - 11:30</v>
      </c>
      <c r="J32" s="6" t="str">
        <f aca="false">'WR LLB'!J26</f>
        <v>Aula</v>
      </c>
      <c r="K32" s="9" t="str">
        <f aca="false">'WR LLB'!K26</f>
        <v>Antomo, Jennifer, Frau Prof. Dr. (Prof) - 4.000 SWS</v>
      </c>
      <c r="L32" s="1" t="n">
        <f aca="false">'BWL BSc u. BWL ÖD BSc'!L34</f>
        <v>0</v>
      </c>
      <c r="M32" s="1" t="n">
        <f aca="false">'BWL BSc u. BWL ÖD BSc'!M34</f>
        <v>0</v>
      </c>
    </row>
    <row r="33" customFormat="false" ht="14.15" hidden="false" customHeight="false" outlineLevel="0" collapsed="false">
      <c r="A33" s="6" t="str">
        <f aca="false">'WR LLB'!A27</f>
        <v>20252</v>
      </c>
      <c r="B33" s="6" t="str">
        <f aca="false">'WR LLB'!B27</f>
        <v>932-2202/PAN</v>
      </c>
      <c r="C33" s="9" t="str">
        <f aca="false">'WR LLB'!C27</f>
        <v>WPR IV - Gesetzliche Schuldverhältnisse (PAN)</v>
      </c>
      <c r="D33" s="6" t="n">
        <f aca="false">'WR LLB'!D27</f>
        <v>0</v>
      </c>
      <c r="E33" s="6" t="n">
        <f aca="false">'WR LLB'!E27</f>
        <v>35</v>
      </c>
      <c r="F33" s="28" t="n">
        <f aca="false">'WR LLB'!F27</f>
        <v>0.1</v>
      </c>
      <c r="G33" s="6" t="str">
        <f aca="false">'WR LLB'!G27</f>
        <v>1-Di</v>
      </c>
      <c r="H33" s="8" t="n">
        <f aca="false">'WR LLB'!H27</f>
        <v>46042</v>
      </c>
      <c r="I33" s="6" t="str">
        <f aca="false">'WR LLB'!I27</f>
        <v>09:30 - 11:30</v>
      </c>
      <c r="J33" s="6" t="str">
        <f aca="false">'WR LLB'!J27</f>
        <v>Aula, d0.01</v>
      </c>
      <c r="K33" s="9" t="str">
        <f aca="false">'WR LLB'!K27</f>
        <v>Mouaouya, Hassan , Herr (LB) - 4.000 SWS</v>
      </c>
      <c r="L33" s="1" t="n">
        <f aca="false">'BWL BSc u. BWL ÖD BSc'!L35</f>
        <v>0</v>
      </c>
      <c r="M33" s="1" t="n">
        <f aca="false">'BWL BSc u. BWL ÖD BSc'!M35</f>
        <v>0</v>
      </c>
    </row>
    <row r="34" customFormat="false" ht="14.15" hidden="false" customHeight="false" outlineLevel="0" collapsed="false">
      <c r="A34" s="6" t="str">
        <f aca="false">'AI VZ u. AIOED BSc dual'!A22</f>
        <v>w</v>
      </c>
      <c r="B34" s="6" t="str">
        <f aca="false">'AI VZ u. AIOED BSc dual'!B22</f>
        <v>938/D04-2205 (A)</v>
      </c>
      <c r="C34" s="6" t="str">
        <f aca="false">'AI VZ u. AIOED BSc dual'!C22</f>
        <v>Mathematik II</v>
      </c>
      <c r="D34" s="6" t="n">
        <f aca="false">'AI VZ u. AIOED BSc dual'!D22</f>
        <v>1205</v>
      </c>
      <c r="E34" s="6" t="n">
        <f aca="false">'AI VZ u. AIOED BSc dual'!E22</f>
        <v>13</v>
      </c>
      <c r="F34" s="6" t="n">
        <f aca="false">'AI VZ u. AIOED BSc dual'!F22</f>
        <v>0</v>
      </c>
      <c r="G34" s="6" t="str">
        <f aca="false">'AI VZ u. AIOED BSc dual'!G22</f>
        <v>1-Di</v>
      </c>
      <c r="H34" s="8" t="n">
        <f aca="false">'AI VZ u. AIOED BSc dual'!H22</f>
        <v>46042</v>
      </c>
      <c r="I34" s="6" t="str">
        <f aca="false">'AI VZ u. AIOED BSc dual'!I22</f>
        <v>08:15 - 09:45</v>
      </c>
      <c r="J34" s="6" t="str">
        <f aca="false">'AI VZ u. AIOED BSc dual'!J22</f>
        <v>c3.06</v>
      </c>
      <c r="K34" s="9" t="str">
        <f aca="false">'AI VZ u. AIOED BSc dual'!K22</f>
        <v>Sellent, Anita, Frau Prof. Dr. (Prof) - 4.000 SWS</v>
      </c>
      <c r="L34" s="1" t="n">
        <f aca="false">'BWL BSc u. BWL ÖD BSc'!L36</f>
        <v>0</v>
      </c>
      <c r="M34" s="1" t="n">
        <f aca="false">'BWL BSc u. BWL ÖD BSc'!M36</f>
        <v>0</v>
      </c>
    </row>
    <row r="35" customFormat="false" ht="14.15" hidden="false" customHeight="false" outlineLevel="0" collapsed="false">
      <c r="A35" s="6" t="str">
        <f aca="false">'AI VZ u. AIOED BSc dual'!A23</f>
        <v>w</v>
      </c>
      <c r="B35" s="6" t="str">
        <f aca="false">'AI VZ u. AIOED BSc dual'!B23</f>
        <v>938/D04-2205 (B)</v>
      </c>
      <c r="C35" s="6" t="str">
        <f aca="false">'AI VZ u. AIOED BSc dual'!C23</f>
        <v>Mathematik II</v>
      </c>
      <c r="D35" s="6" t="n">
        <f aca="false">'AI VZ u. AIOED BSc dual'!D23</f>
        <v>0</v>
      </c>
      <c r="E35" s="6" t="n">
        <f aca="false">'AI VZ u. AIOED BSc dual'!E23</f>
        <v>19</v>
      </c>
      <c r="F35" s="6" t="n">
        <f aca="false">'AI VZ u. AIOED BSc dual'!F23</f>
        <v>0</v>
      </c>
      <c r="G35" s="6" t="str">
        <f aca="false">'AI VZ u. AIOED BSc dual'!G23</f>
        <v>1-Di</v>
      </c>
      <c r="H35" s="8" t="n">
        <f aca="false">'AI VZ u. AIOED BSc dual'!H23</f>
        <v>46042</v>
      </c>
      <c r="I35" s="6" t="str">
        <f aca="false">'AI VZ u. AIOED BSc dual'!I23</f>
        <v>08:15 - 09:45</v>
      </c>
      <c r="J35" s="6" t="str">
        <f aca="false">'AI VZ u. AIOED BSc dual'!J23</f>
        <v>c3.04</v>
      </c>
      <c r="K35" s="9" t="str">
        <f aca="false">'AI VZ u. AIOED BSc dual'!K23</f>
        <v>Sellent, Anita, Frau Prof. Dr. (Prof) - 4.000 SWS</v>
      </c>
      <c r="L35" s="1" t="n">
        <f aca="false">'BWL BSc u. BWL ÖD BSc'!L37</f>
        <v>0</v>
      </c>
      <c r="M35" s="1" t="n">
        <f aca="false">'BWL BSc u. BWL ÖD BSc'!M37</f>
        <v>0</v>
      </c>
    </row>
    <row r="36" customFormat="false" ht="14.15" hidden="false" customHeight="false" outlineLevel="0" collapsed="false">
      <c r="A36" s="6" t="str">
        <f aca="false">'DIM VZ u. dual BSc'!A8</f>
        <v>w</v>
      </c>
      <c r="B36" s="6" t="str">
        <f aca="false">'DIM VZ u. dual BSc'!B8</f>
        <v>D01/D08-2201</v>
      </c>
      <c r="C36" s="6" t="str">
        <f aca="false">'DIM VZ u. dual BSc'!C8</f>
        <v>Medienproduktion I (Digital &amp; Print)</v>
      </c>
      <c r="D36" s="6" t="n">
        <f aca="false">'DIM VZ u. dual BSc'!D8</f>
        <v>0</v>
      </c>
      <c r="E36" s="6" t="n">
        <f aca="false">'DIM VZ u. dual BSc'!E8</f>
        <v>0</v>
      </c>
      <c r="F36" s="6" t="n">
        <f aca="false">'DIM VZ u. dual BSc'!F8</f>
        <v>0</v>
      </c>
      <c r="G36" s="6" t="str">
        <f aca="false">'DIM VZ u. dual BSc'!G8</f>
        <v>1-Di</v>
      </c>
      <c r="H36" s="8" t="n">
        <f aca="false">'DIM VZ u. dual BSc'!H8</f>
        <v>46042</v>
      </c>
      <c r="I36" s="6" t="str">
        <f aca="false">'DIM VZ u. dual BSc'!I8</f>
        <v>11:45 - 13:15</v>
      </c>
      <c r="J36" s="44" t="n">
        <f aca="false">'DIM VZ u. dual BSc'!J8</f>
        <v>0</v>
      </c>
      <c r="K36" s="9" t="str">
        <f aca="false">'DIM VZ u. dual BSc'!K8</f>
        <v>Friederich, Jens, Herr (Ass) - 3.000 SWS</v>
      </c>
      <c r="L36" s="1" t="n">
        <f aca="false">'BWL BSc u. BWL ÖD BSc'!L38</f>
        <v>0</v>
      </c>
      <c r="M36" s="1" t="n">
        <f aca="false">'BWL BSc u. BWL ÖD BSc'!M38</f>
        <v>0</v>
      </c>
    </row>
    <row r="37" customFormat="false" ht="14.15" hidden="false" customHeight="false" outlineLevel="0" collapsed="false">
      <c r="A37" s="6" t="str">
        <f aca="false">'DIM VZ u. dual BSc'!A24</f>
        <v>w</v>
      </c>
      <c r="B37" s="6" t="str">
        <f aca="false">'DIM VZ u. dual BSc'!B24</f>
        <v>D01/D08-2402</v>
      </c>
      <c r="C37" s="9" t="str">
        <f aca="false">'DIM VZ u. dual BSc'!C24</f>
        <v>Data Science I (Datenbanken)</v>
      </c>
      <c r="D37" s="6" t="n">
        <f aca="false">'DIM VZ u. dual BSc'!D24</f>
        <v>0</v>
      </c>
      <c r="E37" s="6" t="n">
        <f aca="false">'DIM VZ u. dual BSc'!E24</f>
        <v>3</v>
      </c>
      <c r="F37" s="6" t="n">
        <f aca="false">'DIM VZ u. dual BSc'!F24</f>
        <v>0</v>
      </c>
      <c r="G37" s="6" t="str">
        <f aca="false">'DIM VZ u. dual BSc'!G24</f>
        <v>1-Di</v>
      </c>
      <c r="H37" s="8" t="n">
        <f aca="false">'DIM VZ u. dual BSc'!H24</f>
        <v>46042</v>
      </c>
      <c r="I37" s="6" t="str">
        <f aca="false">'DIM VZ u. dual BSc'!I24</f>
        <v>08:15 - 09:45</v>
      </c>
      <c r="J37" s="6" t="str">
        <f aca="false">'DIM VZ u. dual BSc'!J24</f>
        <v>a3.04</v>
      </c>
      <c r="K37" s="9" t="str">
        <f aca="false">'DIM VZ u. dual BSc'!K24</f>
        <v>Kowalczyk, Martin, Herr Prof. Dr. (Prof) - 4.000 SWS</v>
      </c>
      <c r="L37" s="1" t="n">
        <f aca="false">'BWL BSc u. BWL ÖD BSc'!L39</f>
        <v>0</v>
      </c>
      <c r="M37" s="1" t="n">
        <f aca="false">'BWL BSc u. BWL ÖD BSc'!M39</f>
        <v>0</v>
      </c>
    </row>
    <row r="38" customFormat="false" ht="26.85" hidden="false" customHeight="false" outlineLevel="0" collapsed="false">
      <c r="A38" s="6" t="str">
        <f aca="false">'DIM VZ u. dual BSc'!A34</f>
        <v>w</v>
      </c>
      <c r="B38" s="6" t="str">
        <f aca="false">'DIM VZ u. dual BSc'!B34</f>
        <v>D01/D08-2601</v>
      </c>
      <c r="C38" s="6" t="str">
        <f aca="false">'DIM VZ u. dual BSc'!C34</f>
        <v>Digital Media Projekt</v>
      </c>
      <c r="D38" s="6" t="n">
        <f aca="false">'DIM VZ u. dual BSc'!D34</f>
        <v>0</v>
      </c>
      <c r="E38" s="6" t="n">
        <f aca="false">'DIM VZ u. dual BSc'!E34</f>
        <v>0</v>
      </c>
      <c r="F38" s="6" t="n">
        <f aca="false">'DIM VZ u. dual BSc'!F34</f>
        <v>0</v>
      </c>
      <c r="G38" s="6" t="str">
        <f aca="false">'DIM VZ u. dual BSc'!G34</f>
        <v>1-Di</v>
      </c>
      <c r="H38" s="8" t="n">
        <f aca="false">'DIM VZ u. dual BSc'!H34</f>
        <v>46042</v>
      </c>
      <c r="I38" s="6" t="str">
        <f aca="false">'DIM VZ u. dual BSc'!I34</f>
        <v>13:45 - 15:15</v>
      </c>
      <c r="J38" s="8" t="n">
        <f aca="false">'DIM VZ u. dual BSc'!J34</f>
        <v>0</v>
      </c>
      <c r="K38" s="9" t="str">
        <f aca="false">'DIM VZ u. dual BSc'!K34</f>
        <v>Rossner, Alexander, Herr (LKfbA) - 1.000 SWS;Horbach, Flavio, Herr (Ass) - 1.000 SWS</v>
      </c>
      <c r="L38" s="1" t="n">
        <f aca="false">'BWL BSc u. BWL ÖD BSc'!L40</f>
        <v>0</v>
      </c>
      <c r="M38" s="1" t="n">
        <f aca="false">'BWL BSc u. BWL ÖD BSc'!M40</f>
        <v>0</v>
      </c>
    </row>
    <row r="39" customFormat="false" ht="14.15" hidden="false" customHeight="false" outlineLevel="0" collapsed="false">
      <c r="A39" s="6" t="str">
        <f aca="false">Optionen!A11</f>
        <v>w</v>
      </c>
      <c r="B39" s="6" t="str">
        <f aca="false">Optionen!B11</f>
        <v>000-11067</v>
      </c>
      <c r="C39" s="9" t="str">
        <f aca="false">Optionen!C11</f>
        <v>Business and Human Rights</v>
      </c>
      <c r="D39" s="6" t="n">
        <f aca="false">Optionen!D11</f>
        <v>0</v>
      </c>
      <c r="E39" s="6" t="n">
        <f aca="false">Optionen!E11</f>
        <v>0</v>
      </c>
      <c r="F39" s="6" t="n">
        <f aca="false">Optionen!F11</f>
        <v>0</v>
      </c>
      <c r="G39" s="6" t="str">
        <f aca="false">Optionen!G11</f>
        <v>1-Di</v>
      </c>
      <c r="H39" s="8" t="n">
        <f aca="false">Optionen!H11</f>
        <v>46042</v>
      </c>
      <c r="I39" s="6" t="str">
        <f aca="false">Optionen!I11</f>
        <v>16:15 - 18:15</v>
      </c>
      <c r="J39" s="6" t="n">
        <f aca="false">Optionen!J11</f>
        <v>0</v>
      </c>
      <c r="K39" s="9" t="str">
        <f aca="false">Optionen!K11</f>
        <v>Kamal, Waschma, Frau (LBA) - 4.000 SWS</v>
      </c>
      <c r="L39" s="1" t="n">
        <f aca="false">'BWL BSc u. BWL ÖD BSc'!L41</f>
        <v>0</v>
      </c>
      <c r="M39" s="1" t="n">
        <f aca="false">'BWL BSc u. BWL ÖD BSc'!M41</f>
        <v>0</v>
      </c>
    </row>
    <row r="40" customFormat="false" ht="26.85" hidden="false" customHeight="false" outlineLevel="0" collapsed="false">
      <c r="A40" s="6" t="str">
        <f aca="false">Optionen!A53</f>
        <v>20252</v>
      </c>
      <c r="B40" s="6" t="str">
        <f aca="false">Optionen!B53</f>
        <v>000-27053</v>
      </c>
      <c r="C40" s="9" t="str">
        <f aca="false">Optionen!C53</f>
        <v>Verträge und Muster in der arbeitsrechtlichen Unternehmenspraxis</v>
      </c>
      <c r="D40" s="6" t="n">
        <f aca="false">Optionen!D53</f>
        <v>0</v>
      </c>
      <c r="E40" s="6" t="n">
        <f aca="false">Optionen!E53</f>
        <v>25</v>
      </c>
      <c r="F40" s="6" t="n">
        <f aca="false">Optionen!F53</f>
        <v>0</v>
      </c>
      <c r="G40" s="6" t="str">
        <f aca="false">Optionen!G53</f>
        <v>1-Di</v>
      </c>
      <c r="H40" s="8" t="n">
        <f aca="false">Optionen!H53</f>
        <v>46042</v>
      </c>
      <c r="I40" s="6" t="str">
        <f aca="false">Optionen!I53</f>
        <v>13:15 -15:15</v>
      </c>
      <c r="J40" s="6" t="str">
        <f aca="false">Optionen!J53</f>
        <v>a3.10</v>
      </c>
      <c r="K40" s="9" t="str">
        <f aca="false">Optionen!K53</f>
        <v>Dahm, Katharina, Frau Prof. Dr. (Prof) - 2.000 SWS;Dereli, Melanie- 2.000 SWS</v>
      </c>
      <c r="L40" s="1" t="n">
        <f aca="false">'BWL BSc u. BWL ÖD BSc'!L42</f>
        <v>0</v>
      </c>
      <c r="M40" s="1" t="n">
        <f aca="false">'BWL BSc u. BWL ÖD BSc'!M42</f>
        <v>0</v>
      </c>
    </row>
    <row r="41" customFormat="false" ht="13.8" hidden="false" customHeight="false" outlineLevel="0" collapsed="false">
      <c r="A41" s="6" t="str">
        <f aca="false">Optionen!A56</f>
        <v>w</v>
      </c>
      <c r="B41" s="6" t="str">
        <f aca="false">Optionen!B56</f>
        <v>000-28003</v>
      </c>
      <c r="C41" s="9" t="str">
        <f aca="false">Optionen!C56</f>
        <v>Wertpapiergeschäft</v>
      </c>
      <c r="D41" s="6" t="n">
        <f aca="false">Optionen!D56</f>
        <v>0</v>
      </c>
      <c r="E41" s="6" t="n">
        <f aca="false">Optionen!E56</f>
        <v>1</v>
      </c>
      <c r="F41" s="6" t="n">
        <f aca="false">Optionen!F56</f>
        <v>0</v>
      </c>
      <c r="G41" s="6" t="str">
        <f aca="false">Optionen!G56</f>
        <v>1-Di</v>
      </c>
      <c r="H41" s="8" t="n">
        <f aca="false">Optionen!H56</f>
        <v>46042</v>
      </c>
      <c r="I41" s="6" t="str">
        <f aca="false">Optionen!I56</f>
        <v>13:15 - 15:15</v>
      </c>
      <c r="J41" s="6" t="str">
        <f aca="false">Optionen!J56</f>
        <v>a3.04</v>
      </c>
      <c r="K41" s="9" t="str">
        <f aca="false">Optionen!K56</f>
        <v>Peppmeier, Arno, Herr Prof. Dr. (Prof) - 4.000 SWS</v>
      </c>
      <c r="L41" s="1" t="n">
        <f aca="false">'BWL BSc u. BWL ÖD BSc'!L43</f>
        <v>0</v>
      </c>
      <c r="M41" s="1" t="n">
        <f aca="false">'BWL BSc u. BWL ÖD BSc'!M43</f>
        <v>0</v>
      </c>
    </row>
    <row r="42" customFormat="false" ht="26.85" hidden="false" customHeight="false" outlineLevel="0" collapsed="false">
      <c r="A42" s="6" t="str">
        <f aca="false">'WR LLM'!A2</f>
        <v>w</v>
      </c>
      <c r="B42" s="6" t="str">
        <f aca="false">'WR LLM'!B2</f>
        <v>932-60101</v>
      </c>
      <c r="C42" s="9" t="str">
        <f aca="false">'WR LLM'!C2</f>
        <v>Inhalt und Beendigung des Arbeitsverhältnisses</v>
      </c>
      <c r="D42" s="6" t="n">
        <f aca="false">'WR LLM'!D2</f>
        <v>0</v>
      </c>
      <c r="E42" s="6" t="n">
        <f aca="false">'WR LLM'!E2</f>
        <v>4</v>
      </c>
      <c r="F42" s="6" t="n">
        <f aca="false">'WR LLM'!F2</f>
        <v>0</v>
      </c>
      <c r="G42" s="6" t="str">
        <f aca="false">'WR LLM'!G2</f>
        <v>1-Di</v>
      </c>
      <c r="H42" s="8" t="n">
        <f aca="false">'WR LLM'!H2</f>
        <v>46042</v>
      </c>
      <c r="I42" s="6" t="str">
        <f aca="false">'WR LLM'!I2</f>
        <v>16:15 - 18:15</v>
      </c>
      <c r="J42" s="6" t="str">
        <f aca="false">'WR LLM'!J2</f>
        <v>a3.04</v>
      </c>
      <c r="K42" s="9" t="str">
        <f aca="false">'WR LLM'!K2</f>
        <v>Dereli, Melanie, Frau (LBA) - 2.000 SWS;Dahm, Katharina, Frau Prof. Dr. (Prof) - 2.000 SWS</v>
      </c>
      <c r="L42" s="1" t="n">
        <f aca="false">'BWL BSc u. BWL ÖD BSc'!L44</f>
        <v>0</v>
      </c>
      <c r="M42" s="1" t="n">
        <f aca="false">'BWL BSc u. BWL ÖD BSc'!M44</f>
        <v>0</v>
      </c>
    </row>
    <row r="43" customFormat="false" ht="14.15" hidden="false" customHeight="false" outlineLevel="0" collapsed="false">
      <c r="A43" s="6" t="str">
        <f aca="false">'IB &amp; IMLA MA'!A5</f>
        <v>20252</v>
      </c>
      <c r="B43" s="6" t="str">
        <f aca="false">'IB &amp; IMLA MA'!B5</f>
        <v>964M-101-PE (A)</v>
      </c>
      <c r="C43" s="6" t="str">
        <f aca="false">'IB &amp; IMLA MA'!C5</f>
        <v>Sustainable International Economics</v>
      </c>
      <c r="D43" s="7" t="str">
        <f aca="false">'IB &amp; IMLA MA'!D5</f>
        <v>60155, 52105</v>
      </c>
      <c r="E43" s="6" t="n">
        <f aca="false">'IB &amp; IMLA MA'!E5</f>
        <v>20</v>
      </c>
      <c r="F43" s="6" t="n">
        <f aca="false">'IB &amp; IMLA MA'!F5</f>
        <v>0</v>
      </c>
      <c r="G43" s="6" t="str">
        <f aca="false">'IB &amp; IMLA MA'!G5</f>
        <v>1-Di</v>
      </c>
      <c r="H43" s="8" t="n">
        <f aca="false">'IB &amp; IMLA MA'!H5</f>
        <v>46042</v>
      </c>
      <c r="I43" s="6" t="str">
        <f aca="false">'IB &amp; IMLA MA'!I5</f>
        <v>09:30 - 11:30</v>
      </c>
      <c r="J43" s="6" t="str">
        <f aca="false">'IB &amp; IMLA MA'!J5</f>
        <v>c-1.11</v>
      </c>
      <c r="K43" s="9" t="str">
        <f aca="false">'IB &amp; IMLA MA'!K5</f>
        <v>Bartels, Bernhard, Herr Prof. Dr. (Prof) - 2.000 SWS</v>
      </c>
      <c r="L43" s="1" t="n">
        <f aca="false">'BWL BSc u. BWL ÖD BSc'!L45</f>
        <v>0</v>
      </c>
      <c r="M43" s="1" t="n">
        <f aca="false">'BWL BSc u. BWL ÖD BSc'!M45</f>
        <v>0</v>
      </c>
    </row>
    <row r="44" customFormat="false" ht="14.15" hidden="false" customHeight="false" outlineLevel="0" collapsed="false">
      <c r="A44" s="6" t="str">
        <f aca="false">'IB &amp; IMLA MA'!A6</f>
        <v>20252</v>
      </c>
      <c r="B44" s="6" t="str">
        <f aca="false">'IB &amp; IMLA MA'!B6</f>
        <v>964M-101-PE (B)</v>
      </c>
      <c r="C44" s="6" t="str">
        <f aca="false">'IB &amp; IMLA MA'!C6</f>
        <v>Sustainable International Economics</v>
      </c>
      <c r="D44" s="7" t="str">
        <f aca="false">'IB &amp; IMLA MA'!D6</f>
        <v>60155, 52105</v>
      </c>
      <c r="E44" s="6" t="n">
        <f aca="false">'IB &amp; IMLA MA'!E6</f>
        <v>17</v>
      </c>
      <c r="F44" s="6" t="n">
        <f aca="false">'IB &amp; IMLA MA'!F6</f>
        <v>0</v>
      </c>
      <c r="G44" s="6" t="str">
        <f aca="false">'IB &amp; IMLA MA'!G6</f>
        <v>1-Di</v>
      </c>
      <c r="H44" s="8" t="n">
        <f aca="false">'IB &amp; IMLA MA'!H6</f>
        <v>46042</v>
      </c>
      <c r="I44" s="6" t="str">
        <f aca="false">'IB &amp; IMLA MA'!I6</f>
        <v>09:30 - 11:30</v>
      </c>
      <c r="J44" s="6" t="str">
        <f aca="false">'IB &amp; IMLA MA'!J6</f>
        <v>c-1.13</v>
      </c>
      <c r="K44" s="9" t="str">
        <f aca="false">'IB &amp; IMLA MA'!K6</f>
        <v>Bartels, Bernhard, Herr Prof. Dr. (Prof) - 2.000 SWS</v>
      </c>
      <c r="L44" s="1" t="n">
        <f aca="false">'BWL BSc u. BWL ÖD BSc'!L46</f>
        <v>0</v>
      </c>
      <c r="M44" s="1" t="n">
        <f aca="false">'BWL BSc u. BWL ÖD BSc'!M46</f>
        <v>0</v>
      </c>
    </row>
    <row r="45" customFormat="false" ht="26.85" hidden="false" customHeight="false" outlineLevel="0" collapsed="false">
      <c r="A45" s="6" t="str">
        <f aca="false">'IMFA MSc'!A3</f>
        <v>20252</v>
      </c>
      <c r="B45" s="6" t="str">
        <f aca="false">'IMFA MSc'!B3</f>
        <v>F43M-302-P</v>
      </c>
      <c r="C45" s="9" t="str">
        <f aca="false">'IMFA MSc'!C3</f>
        <v>Rechtliches Umfeld</v>
      </c>
      <c r="D45" s="7" t="str">
        <f aca="false">'IMFA MSc'!D3</f>
        <v>B15-60302</v>
      </c>
      <c r="E45" s="6" t="n">
        <f aca="false">'IMFA MSc'!E3</f>
        <v>19</v>
      </c>
      <c r="F45" s="6" t="n">
        <f aca="false">'IMFA MSc'!F3</f>
        <v>0</v>
      </c>
      <c r="G45" s="6" t="str">
        <f aca="false">'IMFA MSc'!G3</f>
        <v>1-Di</v>
      </c>
      <c r="H45" s="8" t="n">
        <f aca="false">'IMFA MSc'!H3</f>
        <v>46042</v>
      </c>
      <c r="I45" s="6" t="str">
        <f aca="false">'IMFA MSc'!I3</f>
        <v>09:30 - 11:30</v>
      </c>
      <c r="J45" s="6" t="str">
        <f aca="false">'IMFA MSc'!J3</f>
        <v>a3.06</v>
      </c>
      <c r="K45" s="9" t="str">
        <f aca="false">'IMFA MSc'!K3</f>
        <v>Talmon, Alexander, Herr (LBA) - 2.500 SWS;Palli, Barbara, Frau (LBA) - 1.500 SWS</v>
      </c>
      <c r="L45" s="1" t="n">
        <f aca="false">'BWL BSc u. BWL ÖD BSc'!L47</f>
        <v>0</v>
      </c>
      <c r="M45" s="1" t="n">
        <f aca="false">'BWL BSc u. BWL ÖD BSc'!M47</f>
        <v>0</v>
      </c>
    </row>
    <row r="46" customFormat="false" ht="13.8" hidden="false" customHeight="false" outlineLevel="0" collapsed="false">
      <c r="A46" s="6" t="str">
        <f aca="false">'IB &amp; IMLA MA'!A7</f>
        <v>w</v>
      </c>
      <c r="B46" s="6" t="str">
        <f aca="false">'IB &amp; IMLA MA'!B7</f>
        <v>964-60155</v>
      </c>
      <c r="C46" s="6" t="str">
        <f aca="false">'IB &amp; IMLA MA'!C7</f>
        <v>International Business Environment</v>
      </c>
      <c r="D46" s="7" t="str">
        <f aca="false">'IB &amp; IMLA MA'!D7</f>
        <v>964M-101-PE (A)</v>
      </c>
      <c r="E46" s="6" t="n">
        <f aca="false">'IB &amp; IMLA MA'!E7</f>
        <v>3</v>
      </c>
      <c r="F46" s="6" t="n">
        <f aca="false">'IB &amp; IMLA MA'!F7</f>
        <v>0</v>
      </c>
      <c r="G46" s="6" t="str">
        <f aca="false">'IB &amp; IMLA MA'!G7</f>
        <v>1-Di</v>
      </c>
      <c r="H46" s="8" t="n">
        <f aca="false">'IB &amp; IMLA MA'!H7</f>
        <v>46042</v>
      </c>
      <c r="I46" s="6" t="str">
        <f aca="false">'IB &amp; IMLA MA'!I7</f>
        <v>09:30 - 11:30</v>
      </c>
      <c r="J46" s="6" t="str">
        <f aca="false">'IB &amp; IMLA MA'!J7</f>
        <v>c-1.13</v>
      </c>
      <c r="K46" s="6" t="str">
        <f aca="false">'IB &amp; IMLA MA'!K7</f>
        <v>Bartels, Bernhard, Herr Prof. Dr. (Prof) - 2.000 SWS</v>
      </c>
      <c r="L46" s="1" t="n">
        <f aca="false">'BWL BSc u. BWL ÖD BSc'!L48</f>
        <v>0</v>
      </c>
      <c r="M46" s="1" t="n">
        <f aca="false">'BWL BSc u. BWL ÖD BSc'!M48</f>
        <v>0</v>
      </c>
    </row>
    <row r="47" customFormat="false" ht="13.8" hidden="false" customHeight="false" outlineLevel="0" collapsed="false">
      <c r="A47" s="6" t="str">
        <f aca="false">'IB &amp; IMLA MA'!A8</f>
        <v>w</v>
      </c>
      <c r="B47" s="6" t="str">
        <f aca="false">'IB &amp; IMLA MA'!B8</f>
        <v>964-60155</v>
      </c>
      <c r="C47" s="6" t="str">
        <f aca="false">'IB &amp; IMLA MA'!C8</f>
        <v>International Business Environment</v>
      </c>
      <c r="D47" s="7" t="str">
        <f aca="false">'IB &amp; IMLA MA'!D8</f>
        <v>964M-101-PE (B)</v>
      </c>
      <c r="E47" s="6" t="n">
        <f aca="false">'IB &amp; IMLA MA'!E8</f>
        <v>1</v>
      </c>
      <c r="F47" s="6" t="n">
        <f aca="false">'IB &amp; IMLA MA'!F8</f>
        <v>0</v>
      </c>
      <c r="G47" s="6" t="str">
        <f aca="false">'IB &amp; IMLA MA'!G8</f>
        <v>1-Di</v>
      </c>
      <c r="H47" s="8" t="n">
        <f aca="false">'IB &amp; IMLA MA'!H8</f>
        <v>46042</v>
      </c>
      <c r="I47" s="6" t="str">
        <f aca="false">'IB &amp; IMLA MA'!I8</f>
        <v>09:30 - 11:30</v>
      </c>
      <c r="J47" s="6" t="str">
        <f aca="false">'IB &amp; IMLA MA'!J8</f>
        <v>c-1.11</v>
      </c>
      <c r="K47" s="6" t="str">
        <f aca="false">'IB &amp; IMLA MA'!K8</f>
        <v>Bartels, Bernhard, Herr Prof. Dr. (Prof) - 2.000 SWS</v>
      </c>
      <c r="L47" s="1" t="n">
        <f aca="false">'BWL BSc u. BWL ÖD BSc'!L49</f>
        <v>0</v>
      </c>
      <c r="M47" s="1" t="n">
        <f aca="false">'BWL BSc u. BWL ÖD BSc'!M49</f>
        <v>0</v>
      </c>
    </row>
    <row r="48" customFormat="false" ht="26.85" hidden="false" customHeight="false" outlineLevel="0" collapsed="false">
      <c r="A48" s="6" t="str">
        <f aca="false">'BWL BSc u. BWL ÖD BSc'!A9</f>
        <v>20252</v>
      </c>
      <c r="B48" s="6" t="str">
        <f aca="false">'BWL BSc u. BWL ÖD BSc'!B9</f>
        <v>021/D43-3103 (A )</v>
      </c>
      <c r="C48" s="6" t="str">
        <f aca="false">'BWL BSc u. BWL ÖD BSc'!C9</f>
        <v>Grundzüge des Rechnungswesens</v>
      </c>
      <c r="D48" s="7" t="str">
        <f aca="false">'BWL BSc u. BWL ÖD BSc'!D9</f>
        <v>2103, 1102</v>
      </c>
      <c r="E48" s="6" t="n">
        <f aca="false">'BWL BSc u. BWL ÖD BSc'!E9</f>
        <v>39</v>
      </c>
      <c r="F48" s="6" t="n">
        <f aca="false">'BWL BSc u. BWL ÖD BSc'!F9</f>
        <v>0</v>
      </c>
      <c r="G48" s="6" t="str">
        <f aca="false">'BWL BSc u. BWL ÖD BSc'!G9</f>
        <v>1-Mi</v>
      </c>
      <c r="H48" s="8" t="n">
        <f aca="false">'BWL BSc u. BWL ÖD BSc'!H9</f>
        <v>46043</v>
      </c>
      <c r="I48" s="6" t="str">
        <f aca="false">'BWL BSc u. BWL ÖD BSc'!I9</f>
        <v>07:45 - 09:15</v>
      </c>
      <c r="J48" s="6" t="str">
        <f aca="false">'BWL BSc u. BWL ÖD BSc'!J9</f>
        <v>Aula</v>
      </c>
      <c r="K48" s="9" t="str">
        <f aca="false">'BWL BSc u. BWL ÖD BSc'!K9</f>
        <v>Kemmeter, Sascha, Herr Prof. Dr. (Prof) - 2.000 SWS;Heier, Sarah, Frau (Ass) - 2.000 SWS</v>
      </c>
      <c r="L48" s="1" t="n">
        <f aca="false">'BWL BSc u. BWL ÖD BSc'!L50</f>
        <v>0</v>
      </c>
      <c r="M48" s="1" t="n">
        <f aca="false">'BWL BSc u. BWL ÖD BSc'!M50</f>
        <v>0</v>
      </c>
    </row>
    <row r="49" customFormat="false" ht="26.85" hidden="false" customHeight="false" outlineLevel="0" collapsed="false">
      <c r="A49" s="6" t="str">
        <f aca="false">'BWL BSc u. BWL ÖD BSc'!A10</f>
        <v>20252</v>
      </c>
      <c r="B49" s="6" t="str">
        <f aca="false">'BWL BSc u. BWL ÖD BSc'!B10</f>
        <v>021-3103 (B)</v>
      </c>
      <c r="C49" s="6" t="str">
        <f aca="false">'BWL BSc u. BWL ÖD BSc'!C10</f>
        <v>Grundzüge des Rechnungswesens</v>
      </c>
      <c r="D49" s="7" t="n">
        <f aca="false">'BWL BSc u. BWL ÖD BSc'!D10</f>
        <v>0</v>
      </c>
      <c r="E49" s="6" t="n">
        <f aca="false">'BWL BSc u. BWL ÖD BSc'!E10</f>
        <v>33</v>
      </c>
      <c r="F49" s="6" t="n">
        <f aca="false">'BWL BSc u. BWL ÖD BSc'!F10</f>
        <v>0</v>
      </c>
      <c r="G49" s="6" t="str">
        <f aca="false">'BWL BSc u. BWL ÖD BSc'!G10</f>
        <v>1-Mi</v>
      </c>
      <c r="H49" s="8" t="n">
        <f aca="false">'BWL BSc u. BWL ÖD BSc'!H10</f>
        <v>46043</v>
      </c>
      <c r="I49" s="6" t="str">
        <f aca="false">'BWL BSc u. BWL ÖD BSc'!I10</f>
        <v>07:45 - 09:15</v>
      </c>
      <c r="J49" s="6" t="str">
        <f aca="false">'BWL BSc u. BWL ÖD BSc'!J10</f>
        <v>Aula</v>
      </c>
      <c r="K49" s="9" t="str">
        <f aca="false">'BWL BSc u. BWL ÖD BSc'!K10</f>
        <v>Heier, Sarah, Frau (Ass) - 2.000 SWS;Kemmeter, Sascha, Herr Prof. Dr. (Prof) - 2.000 SWS</v>
      </c>
      <c r="L49" s="1" t="n">
        <f aca="false">'BWL BSc u. BWL ÖD BSc'!L51</f>
        <v>0</v>
      </c>
      <c r="M49" s="1" t="n">
        <f aca="false">'BWL BSc u. BWL ÖD BSc'!M51</f>
        <v>0</v>
      </c>
    </row>
    <row r="50" customFormat="false" ht="26.85" hidden="false" customHeight="false" outlineLevel="0" collapsed="false">
      <c r="A50" s="6" t="str">
        <f aca="false">'BWL BSc u. BWL ÖD BSc'!A11</f>
        <v>20252</v>
      </c>
      <c r="B50" s="6" t="str">
        <f aca="false">'BWL BSc u. BWL ÖD BSc'!B11</f>
        <v>021-3103 (C)</v>
      </c>
      <c r="C50" s="6" t="str">
        <f aca="false">'BWL BSc u. BWL ÖD BSc'!C11</f>
        <v>Grundzüge des Rechnungswesens</v>
      </c>
      <c r="D50" s="7" t="n">
        <f aca="false">'BWL BSc u. BWL ÖD BSc'!D11</f>
        <v>0</v>
      </c>
      <c r="E50" s="6" t="n">
        <f aca="false">'BWL BSc u. BWL ÖD BSc'!E11</f>
        <v>39</v>
      </c>
      <c r="F50" s="6" t="n">
        <f aca="false">'BWL BSc u. BWL ÖD BSc'!F11</f>
        <v>0</v>
      </c>
      <c r="G50" s="6" t="str">
        <f aca="false">'BWL BSc u. BWL ÖD BSc'!G11</f>
        <v>1-Mi</v>
      </c>
      <c r="H50" s="8" t="n">
        <f aca="false">'BWL BSc u. BWL ÖD BSc'!H11</f>
        <v>46043</v>
      </c>
      <c r="I50" s="6" t="str">
        <f aca="false">'BWL BSc u. BWL ÖD BSc'!I11</f>
        <v>07:45 - 09:15</v>
      </c>
      <c r="J50" s="6" t="str">
        <f aca="false">'BWL BSc u. BWL ÖD BSc'!J11</f>
        <v>Aula</v>
      </c>
      <c r="K50" s="9" t="str">
        <f aca="false">'BWL BSc u. BWL ÖD BSc'!K11</f>
        <v>Kemmeter, Sascha, Herr Prof. Dr. (Prof) - 2.000 SWS;Born, Julia, Frau (LBA) - 2.000 SWS</v>
      </c>
      <c r="L50" s="1" t="n">
        <f aca="false">'BWL BSc u. BWL ÖD BSc'!L52</f>
        <v>0</v>
      </c>
      <c r="M50" s="1" t="n">
        <f aca="false">'BWL BSc u. BWL ÖD BSc'!M52</f>
        <v>0</v>
      </c>
    </row>
    <row r="51" customFormat="false" ht="26.85" hidden="false" customHeight="false" outlineLevel="0" collapsed="false">
      <c r="A51" s="6" t="str">
        <f aca="false">'BWL BSc u. BWL ÖD BSc'!A12</f>
        <v>20252</v>
      </c>
      <c r="B51" s="6" t="str">
        <f aca="false">'BWL BSc u. BWL ÖD BSc'!B12</f>
        <v>021-3103/PAN</v>
      </c>
      <c r="C51" s="6" t="str">
        <f aca="false">'BWL BSc u. BWL ÖD BSc'!C12</f>
        <v>Grundzüge des Rechnungswesens (PAN)</v>
      </c>
      <c r="D51" s="7" t="n">
        <f aca="false">'BWL BSc u. BWL ÖD BSc'!D12</f>
        <v>0</v>
      </c>
      <c r="E51" s="6" t="n">
        <f aca="false">'BWL BSc u. BWL ÖD BSc'!E12</f>
        <v>41</v>
      </c>
      <c r="F51" s="6" t="n">
        <f aca="false">'BWL BSc u. BWL ÖD BSc'!F12</f>
        <v>0</v>
      </c>
      <c r="G51" s="6" t="str">
        <f aca="false">'BWL BSc u. BWL ÖD BSc'!G12</f>
        <v>1-Mi</v>
      </c>
      <c r="H51" s="8" t="n">
        <f aca="false">'BWL BSc u. BWL ÖD BSc'!H12</f>
        <v>46043</v>
      </c>
      <c r="I51" s="6" t="str">
        <f aca="false">'BWL BSc u. BWL ÖD BSc'!I12</f>
        <v>07:45 - 09:15</v>
      </c>
      <c r="J51" s="6" t="str">
        <f aca="false">'BWL BSc u. BWL ÖD BSc'!J12</f>
        <v>c3.04, c3.08</v>
      </c>
      <c r="K51" s="9" t="str">
        <f aca="false">'BWL BSc u. BWL ÖD BSc'!K12</f>
        <v>Kemmeter, Sascha, Herr Prof. Dr. (Prof) - 2.000 SWS;Scherrer, Antje, Frau (Ass) - 2.000 SWS</v>
      </c>
      <c r="L51" s="1" t="n">
        <f aca="false">'BWL BSc u. BWL ÖD BSc'!L53</f>
        <v>0</v>
      </c>
      <c r="M51" s="1" t="n">
        <f aca="false">'BWL BSc u. BWL ÖD BSc'!M53</f>
        <v>0</v>
      </c>
    </row>
    <row r="52" customFormat="false" ht="14.15" hidden="false" customHeight="false" outlineLevel="0" collapsed="false">
      <c r="A52" s="6" t="str">
        <f aca="false">'BWL BSc u. BWL ÖD BSc'!A43</f>
        <v>20252</v>
      </c>
      <c r="B52" s="6" t="str">
        <f aca="false">'BWL BSc u. BWL ÖD BSc'!B43</f>
        <v>021/D43-3301 (A)</v>
      </c>
      <c r="C52" s="6" t="str">
        <f aca="false">'BWL BSc u. BWL ÖD BSc'!C43</f>
        <v>Mikroökonomie</v>
      </c>
      <c r="D52" s="6" t="n">
        <f aca="false">'BWL BSc u. BWL ÖD BSc'!D43</f>
        <v>2301.1304</v>
      </c>
      <c r="E52" s="6" t="n">
        <f aca="false">'BWL BSc u. BWL ÖD BSc'!E43</f>
        <v>40</v>
      </c>
      <c r="F52" s="6" t="n">
        <f aca="false">'BWL BSc u. BWL ÖD BSc'!F43</f>
        <v>0</v>
      </c>
      <c r="G52" s="6" t="str">
        <f aca="false">'BWL BSc u. BWL ÖD BSc'!G43</f>
        <v>1-Mi</v>
      </c>
      <c r="H52" s="8" t="n">
        <f aca="false">'BWL BSc u. BWL ÖD BSc'!H43</f>
        <v>46043</v>
      </c>
      <c r="I52" s="6" t="str">
        <f aca="false">'BWL BSc u. BWL ÖD BSc'!I43</f>
        <v>11:45 - 13:15</v>
      </c>
      <c r="J52" s="6" t="str">
        <f aca="false">'BWL BSc u. BWL ÖD BSc'!J43</f>
        <v>Aula</v>
      </c>
      <c r="K52" s="9" t="str">
        <f aca="false">'BWL BSc u. BWL ÖD BSc'!K43</f>
        <v>Freudenberger, Axel, Herr Prof. Dr. (Prof) - 4.000 SWS</v>
      </c>
      <c r="L52" s="1" t="n">
        <f aca="false">'BWL BSc u. BWL ÖD BSc'!L54</f>
        <v>0</v>
      </c>
      <c r="M52" s="1" t="n">
        <f aca="false">'BWL BSc u. BWL ÖD BSc'!M54</f>
        <v>0</v>
      </c>
    </row>
    <row r="53" customFormat="false" ht="14.15" hidden="false" customHeight="false" outlineLevel="0" collapsed="false">
      <c r="A53" s="6" t="str">
        <f aca="false">'BWL BSc u. BWL ÖD BSc'!A44</f>
        <v>20252</v>
      </c>
      <c r="B53" s="6" t="str">
        <f aca="false">'BWL BSc u. BWL ÖD BSc'!B44</f>
        <v>021-3301 (B)</v>
      </c>
      <c r="C53" s="6" t="str">
        <f aca="false">'BWL BSc u. BWL ÖD BSc'!C44</f>
        <v>Mikroökonomie</v>
      </c>
      <c r="D53" s="6" t="n">
        <f aca="false">'BWL BSc u. BWL ÖD BSc'!D44</f>
        <v>0</v>
      </c>
      <c r="E53" s="6" t="n">
        <f aca="false">'BWL BSc u. BWL ÖD BSc'!E44</f>
        <v>22</v>
      </c>
      <c r="F53" s="6" t="n">
        <f aca="false">'BWL BSc u. BWL ÖD BSc'!F44</f>
        <v>0</v>
      </c>
      <c r="G53" s="6" t="str">
        <f aca="false">'BWL BSc u. BWL ÖD BSc'!G44</f>
        <v>1-Mi</v>
      </c>
      <c r="H53" s="8" t="n">
        <f aca="false">'BWL BSc u. BWL ÖD BSc'!H44</f>
        <v>46043</v>
      </c>
      <c r="I53" s="6" t="str">
        <f aca="false">'BWL BSc u. BWL ÖD BSc'!I44</f>
        <v>11:45 - 13:15</v>
      </c>
      <c r="J53" s="6" t="str">
        <f aca="false">'BWL BSc u. BWL ÖD BSc'!J44</f>
        <v>Aula</v>
      </c>
      <c r="K53" s="9" t="str">
        <f aca="false">'BWL BSc u. BWL ÖD BSc'!K44</f>
        <v>Heilig, Markus, Herr (LBA) - 4.000 SWS</v>
      </c>
      <c r="L53" s="1" t="n">
        <f aca="false">'BWL BSc u. BWL ÖD BSc'!L55</f>
        <v>0</v>
      </c>
      <c r="M53" s="1" t="n">
        <f aca="false">'BWL BSc u. BWL ÖD BSc'!M55</f>
        <v>0</v>
      </c>
    </row>
    <row r="54" customFormat="false" ht="14.15" hidden="false" customHeight="false" outlineLevel="0" collapsed="false">
      <c r="A54" s="6" t="str">
        <f aca="false">'BWL BSc u. BWL ÖD BSc'!A45</f>
        <v>20252</v>
      </c>
      <c r="B54" s="6" t="str">
        <f aca="false">'BWL BSc u. BWL ÖD BSc'!B45</f>
        <v>021-3301 (C)</v>
      </c>
      <c r="C54" s="6" t="str">
        <f aca="false">'BWL BSc u. BWL ÖD BSc'!C45</f>
        <v>Mikroökonomie</v>
      </c>
      <c r="D54" s="6" t="n">
        <f aca="false">'BWL BSc u. BWL ÖD BSc'!D45</f>
        <v>0</v>
      </c>
      <c r="E54" s="6" t="n">
        <f aca="false">'BWL BSc u. BWL ÖD BSc'!E45</f>
        <v>24</v>
      </c>
      <c r="F54" s="6" t="n">
        <f aca="false">'BWL BSc u. BWL ÖD BSc'!F45</f>
        <v>0</v>
      </c>
      <c r="G54" s="6" t="str">
        <f aca="false">'BWL BSc u. BWL ÖD BSc'!G45</f>
        <v>1-Mi</v>
      </c>
      <c r="H54" s="8" t="n">
        <f aca="false">'BWL BSc u. BWL ÖD BSc'!H45</f>
        <v>46043</v>
      </c>
      <c r="I54" s="6" t="str">
        <f aca="false">'BWL BSc u. BWL ÖD BSc'!I45</f>
        <v>11:45 - 13:15</v>
      </c>
      <c r="J54" s="6" t="str">
        <f aca="false">'BWL BSc u. BWL ÖD BSc'!J45</f>
        <v>Aula</v>
      </c>
      <c r="K54" s="9" t="str">
        <f aca="false">'BWL BSc u. BWL ÖD BSc'!K45</f>
        <v>Rohde, Linnea, Frau Dr. (LBA) - 4.000 SWS</v>
      </c>
      <c r="L54" s="1" t="n">
        <f aca="false">'BWL BSc u. BWL ÖD BSc'!L56</f>
        <v>0</v>
      </c>
      <c r="M54" s="1" t="n">
        <f aca="false">'BWL BSc u. BWL ÖD BSc'!M56</f>
        <v>0</v>
      </c>
    </row>
    <row r="55" customFormat="false" ht="14.15" hidden="false" customHeight="false" outlineLevel="0" collapsed="false">
      <c r="A55" s="6" t="str">
        <f aca="false">'BWL BSc u. BWL ÖD BSc'!A46</f>
        <v>20252</v>
      </c>
      <c r="B55" s="6" t="str">
        <f aca="false">'BWL BSc u. BWL ÖD BSc'!B46</f>
        <v>021-3301/PAN</v>
      </c>
      <c r="C55" s="6" t="str">
        <f aca="false">'BWL BSc u. BWL ÖD BSc'!C46</f>
        <v>Mikroökonomie (PAN)</v>
      </c>
      <c r="D55" s="6" t="n">
        <f aca="false">'BWL BSc u. BWL ÖD BSc'!D46</f>
        <v>0</v>
      </c>
      <c r="E55" s="6" t="n">
        <f aca="false">'BWL BSc u. BWL ÖD BSc'!E46</f>
        <v>44</v>
      </c>
      <c r="F55" s="28" t="str">
        <f aca="false">'BWL BSc u. BWL ÖD BSc'!F46</f>
        <v>50%, 10%</v>
      </c>
      <c r="G55" s="6" t="str">
        <f aca="false">'BWL BSc u. BWL ÖD BSc'!G46</f>
        <v>1-Mi</v>
      </c>
      <c r="H55" s="8" t="n">
        <f aca="false">'BWL BSc u. BWL ÖD BSc'!H46</f>
        <v>46043</v>
      </c>
      <c r="I55" s="6" t="str">
        <f aca="false">'BWL BSc u. BWL ÖD BSc'!I46</f>
        <v>11:45 - 13:15</v>
      </c>
      <c r="J55" s="6" t="str">
        <f aca="false">'BWL BSc u. BWL ÖD BSc'!J46</f>
        <v>Aula, a3.04</v>
      </c>
      <c r="K55" s="9" t="str">
        <f aca="false">'BWL BSc u. BWL ÖD BSc'!K46</f>
        <v>Bartels, Bernhard, Herr Prof. Dr. (Prof) - 4.000 SWS</v>
      </c>
      <c r="L55" s="1" t="n">
        <f aca="false">'BWL BSc u. BWL ÖD BSc'!L57</f>
        <v>0</v>
      </c>
      <c r="M55" s="1" t="n">
        <f aca="false">'BWL BSc u. BWL ÖD BSc'!M57</f>
        <v>0</v>
      </c>
    </row>
    <row r="56" customFormat="false" ht="14.15" hidden="false" customHeight="false" outlineLevel="0" collapsed="false">
      <c r="A56" s="6" t="str">
        <f aca="false">'BWL BSc u. BWL ÖD BSc'!A68</f>
        <v>20252</v>
      </c>
      <c r="B56" s="6" t="str">
        <f aca="false">'BWL BSc u. BWL ÖD BSc'!B68</f>
        <v>021/D43-3404 (I)</v>
      </c>
      <c r="C56" s="6" t="str">
        <f aca="false">'BWL BSc u. BWL ÖD BSc'!C68</f>
        <v>Steuern</v>
      </c>
      <c r="D56" s="6" t="n">
        <f aca="false">'BWL BSc u. BWL ÖD BSc'!D68</f>
        <v>2404.1303</v>
      </c>
      <c r="E56" s="6" t="n">
        <f aca="false">'BWL BSc u. BWL ÖD BSc'!E68</f>
        <v>50</v>
      </c>
      <c r="F56" s="28" t="n">
        <f aca="false">'BWL BSc u. BWL ÖD BSc'!F68</f>
        <v>0.1</v>
      </c>
      <c r="G56" s="6" t="str">
        <f aca="false">'BWL BSc u. BWL ÖD BSc'!G68</f>
        <v>1-Mi</v>
      </c>
      <c r="H56" s="8" t="n">
        <f aca="false">'BWL BSc u. BWL ÖD BSc'!H68</f>
        <v>46043</v>
      </c>
      <c r="I56" s="6" t="str">
        <f aca="false">'BWL BSc u. BWL ÖD BSc'!I68</f>
        <v>16:00 - 17:30</v>
      </c>
      <c r="J56" s="6" t="str">
        <f aca="false">'BWL BSc u. BWL ÖD BSc'!J68</f>
        <v>Aula, a3.06, A0.12</v>
      </c>
      <c r="K56" s="9" t="str">
        <f aca="false">'BWL BSc u. BWL ÖD BSc'!K68</f>
        <v>Kämmerer, Bardo, Herr Prof. Dr. (Prof) - 4.000 SWS</v>
      </c>
      <c r="L56" s="1" t="n">
        <f aca="false">'BWL BSc u. BWL ÖD BSc'!L58</f>
        <v>0</v>
      </c>
      <c r="M56" s="1" t="n">
        <f aca="false">'BWL BSc u. BWL ÖD BSc'!M58</f>
        <v>0</v>
      </c>
    </row>
    <row r="57" customFormat="false" ht="14.15" hidden="false" customHeight="false" outlineLevel="0" collapsed="false">
      <c r="A57" s="6" t="str">
        <f aca="false">'BWL BSc u. BWL ÖD BSc'!A69</f>
        <v>20252</v>
      </c>
      <c r="B57" s="6" t="str">
        <f aca="false">'BWL BSc u. BWL ÖD BSc'!B69</f>
        <v>021/D43-3404 (II)</v>
      </c>
      <c r="C57" s="6" t="str">
        <f aca="false">'BWL BSc u. BWL ÖD BSc'!C69</f>
        <v>Steuern</v>
      </c>
      <c r="D57" s="6" t="n">
        <f aca="false">'BWL BSc u. BWL ÖD BSc'!D69</f>
        <v>0</v>
      </c>
      <c r="E57" s="6" t="n">
        <f aca="false">'BWL BSc u. BWL ÖD BSc'!E69</f>
        <v>34</v>
      </c>
      <c r="F57" s="6" t="n">
        <f aca="false">'BWL BSc u. BWL ÖD BSc'!F69</f>
        <v>0</v>
      </c>
      <c r="G57" s="6" t="str">
        <f aca="false">'BWL BSc u. BWL ÖD BSc'!G69</f>
        <v>1-Mi</v>
      </c>
      <c r="H57" s="8" t="n">
        <f aca="false">'BWL BSc u. BWL ÖD BSc'!H69</f>
        <v>46043</v>
      </c>
      <c r="I57" s="6" t="str">
        <f aca="false">'BWL BSc u. BWL ÖD BSc'!I69</f>
        <v>16:00 - 17:30</v>
      </c>
      <c r="J57" s="6" t="str">
        <f aca="false">'BWL BSc u. BWL ÖD BSc'!J69</f>
        <v>Aula</v>
      </c>
      <c r="K57" s="9" t="str">
        <f aca="false">'BWL BSc u. BWL ÖD BSc'!K69</f>
        <v>Kämmerer, Bardo, Herr Prof. Dr. (Prof) - 4.000 SWS</v>
      </c>
      <c r="L57" s="1" t="n">
        <f aca="false">'BWL BSc u. BWL ÖD BSc'!L59</f>
        <v>0</v>
      </c>
      <c r="M57" s="1" t="n">
        <f aca="false">'BWL BSc u. BWL ÖD BSc'!M59</f>
        <v>0</v>
      </c>
    </row>
    <row r="58" customFormat="false" ht="14.15" hidden="false" customHeight="false" outlineLevel="0" collapsed="false">
      <c r="A58" s="6" t="str">
        <f aca="false">'BWL BSc u. BWL ÖD BSc'!A70</f>
        <v>20252</v>
      </c>
      <c r="B58" s="6" t="str">
        <f aca="false">'BWL BSc u. BWL ÖD BSc'!B70</f>
        <v>021/D43-3404 (III)</v>
      </c>
      <c r="C58" s="6" t="str">
        <f aca="false">'BWL BSc u. BWL ÖD BSc'!C70</f>
        <v>Steuern</v>
      </c>
      <c r="D58" s="6" t="n">
        <f aca="false">'BWL BSc u. BWL ÖD BSc'!D70</f>
        <v>0</v>
      </c>
      <c r="E58" s="6" t="n">
        <f aca="false">'BWL BSc u. BWL ÖD BSc'!E70</f>
        <v>20</v>
      </c>
      <c r="F58" s="6" t="n">
        <f aca="false">'BWL BSc u. BWL ÖD BSc'!F70</f>
        <v>0</v>
      </c>
      <c r="G58" s="6" t="str">
        <f aca="false">'BWL BSc u. BWL ÖD BSc'!G70</f>
        <v>1-Mi</v>
      </c>
      <c r="H58" s="8" t="n">
        <f aca="false">'BWL BSc u. BWL ÖD BSc'!H70</f>
        <v>46043</v>
      </c>
      <c r="I58" s="6" t="str">
        <f aca="false">'BWL BSc u. BWL ÖD BSc'!I70</f>
        <v>16:00 - 17:30</v>
      </c>
      <c r="J58" s="6" t="str">
        <f aca="false">'BWL BSc u. BWL ÖD BSc'!J70</f>
        <v>Aula</v>
      </c>
      <c r="K58" s="9" t="str">
        <f aca="false">'BWL BSc u. BWL ÖD BSc'!K70</f>
        <v>Kämmerer, Bardo, Herr Prof. Dr. (Prof) - 4.000 SWS</v>
      </c>
      <c r="L58" s="1" t="n">
        <f aca="false">'BWL BSc u. BWL ÖD BSc'!L60</f>
        <v>0</v>
      </c>
      <c r="M58" s="1" t="n">
        <f aca="false">'BWL BSc u. BWL ÖD BSc'!M60</f>
        <v>0</v>
      </c>
    </row>
    <row r="59" customFormat="false" ht="26.85" hidden="false" customHeight="false" outlineLevel="0" collapsed="false">
      <c r="A59" s="6" t="str">
        <f aca="false">'WR LLB'!A14</f>
        <v>20252</v>
      </c>
      <c r="B59" s="6" t="str">
        <f aca="false">'WR LLB'!B14</f>
        <v>042B-105 (A)</v>
      </c>
      <c r="C59" s="6" t="str">
        <f aca="false">'WR LLB'!C14</f>
        <v>Finance &amp; Controlling</v>
      </c>
      <c r="D59" s="7" t="str">
        <f aca="false">'WR LLB'!D14</f>
        <v>932-2111</v>
      </c>
      <c r="E59" s="6" t="n">
        <f aca="false">'WR LLB'!E14</f>
        <v>36</v>
      </c>
      <c r="F59" s="6" t="n">
        <f aca="false">'WR LLB'!F14</f>
        <v>0</v>
      </c>
      <c r="G59" s="6" t="str">
        <f aca="false">'WR LLB'!G14</f>
        <v>1-Mi</v>
      </c>
      <c r="H59" s="8" t="n">
        <f aca="false">'WR LLB'!H14</f>
        <v>46043</v>
      </c>
      <c r="I59" s="6" t="str">
        <f aca="false">'WR LLB'!I14</f>
        <v>09:30 - 11:00</v>
      </c>
      <c r="J59" s="6" t="str">
        <f aca="false">'WR LLB'!J14</f>
        <v>Aula</v>
      </c>
      <c r="K59" s="9" t="str">
        <f aca="false">'WR LLB'!K14</f>
        <v>Landwehr-Zloch, Sabine, Frau Prof. Dr. (Prof) - 3.000 SWS;Hehn, Markus, Herr Prof. Dr. (Prof) - 3.000 SWS</v>
      </c>
      <c r="L59" s="1" t="n">
        <f aca="false">'BWL BSc u. BWL ÖD BSc'!L61</f>
        <v>0</v>
      </c>
      <c r="M59" s="1" t="n">
        <f aca="false">'BWL BSc u. BWL ÖD BSc'!M61</f>
        <v>0</v>
      </c>
    </row>
    <row r="60" customFormat="false" ht="26.85" hidden="false" customHeight="false" outlineLevel="0" collapsed="false">
      <c r="A60" s="6" t="str">
        <f aca="false">'WR LLB'!A15</f>
        <v>20252</v>
      </c>
      <c r="B60" s="6" t="str">
        <f aca="false">'WR LLB'!B15</f>
        <v>042B-105 (B)</v>
      </c>
      <c r="C60" s="6" t="str">
        <f aca="false">'WR LLB'!C15</f>
        <v>Finance &amp; Controlling</v>
      </c>
      <c r="D60" s="7" t="n">
        <f aca="false">'WR LLB'!D15</f>
        <v>0</v>
      </c>
      <c r="E60" s="6" t="n">
        <f aca="false">'WR LLB'!E15</f>
        <v>32</v>
      </c>
      <c r="F60" s="6" t="n">
        <f aca="false">'WR LLB'!F15</f>
        <v>0</v>
      </c>
      <c r="G60" s="6" t="str">
        <f aca="false">'WR LLB'!G15</f>
        <v>1-Mi</v>
      </c>
      <c r="H60" s="8" t="n">
        <f aca="false">'WR LLB'!H15</f>
        <v>46043</v>
      </c>
      <c r="I60" s="6" t="str">
        <f aca="false">'WR LLB'!I15</f>
        <v>09:30 - 11:00</v>
      </c>
      <c r="J60" s="6" t="str">
        <f aca="false">'WR LLB'!J15</f>
        <v>Aula</v>
      </c>
      <c r="K60" s="9" t="str">
        <f aca="false">'WR LLB'!K15</f>
        <v>Landwehr-Zloch, Sabine, Frau Prof. Dr. (Prof) - 3.000 SWS;Hehn, Markus, Herr Prof. Dr. (Prof) - 3.000 SWS</v>
      </c>
      <c r="L60" s="1" t="n">
        <f aca="false">'BWL BSc u. BWL ÖD BSc'!L62</f>
        <v>0</v>
      </c>
      <c r="M60" s="1" t="n">
        <f aca="false">'BWL BSc u. BWL ÖD BSc'!M62</f>
        <v>0</v>
      </c>
    </row>
    <row r="61" customFormat="false" ht="14.15" hidden="false" customHeight="false" outlineLevel="0" collapsed="false">
      <c r="A61" s="6" t="str">
        <f aca="false">'WR LLB'!A33</f>
        <v>20252</v>
      </c>
      <c r="B61" s="6" t="str">
        <f aca="false">'WR LLB'!B33</f>
        <v>932-2213</v>
      </c>
      <c r="C61" s="6" t="str">
        <f aca="false">'WR LLB'!C33</f>
        <v>Personal &amp; Organisation</v>
      </c>
      <c r="D61" s="7" t="str">
        <f aca="false">'WR LLB'!D33</f>
        <v>042B-204</v>
      </c>
      <c r="E61" s="6" t="n">
        <f aca="false">'WR LLB'!E33</f>
        <v>39</v>
      </c>
      <c r="F61" s="6" t="str">
        <f aca="false">'WR LLB'!F33</f>
        <v>2 Stunden</v>
      </c>
      <c r="G61" s="6" t="str">
        <f aca="false">'WR LLB'!G33</f>
        <v>1-Mi</v>
      </c>
      <c r="H61" s="8" t="n">
        <f aca="false">'WR LLB'!H33</f>
        <v>46043</v>
      </c>
      <c r="I61" s="6" t="str">
        <f aca="false">'WR LLB'!I33</f>
        <v>13:45 - 15:15</v>
      </c>
      <c r="J61" s="6" t="str">
        <f aca="false">'WR LLB'!J33</f>
        <v>c-1.11, c-1.13, b1.05/b1.07</v>
      </c>
      <c r="K61" s="6" t="str">
        <f aca="false">'WR LLB'!K33</f>
        <v>Zwiener, Jacqueline, Frau (Ass) - 2.500 SWS</v>
      </c>
      <c r="L61" s="1" t="n">
        <f aca="false">'BWL BSc u. BWL ÖD BSc'!L63</f>
        <v>0</v>
      </c>
      <c r="M61" s="1" t="n">
        <f aca="false">'BWL BSc u. BWL ÖD BSc'!M63</f>
        <v>0</v>
      </c>
    </row>
    <row r="62" customFormat="false" ht="14.15" hidden="false" customHeight="false" outlineLevel="0" collapsed="false">
      <c r="A62" s="6" t="str">
        <f aca="false">'WR LLB'!A51</f>
        <v>20252</v>
      </c>
      <c r="B62" s="6" t="str">
        <f aca="false">'WR LLB'!B51</f>
        <v>932-2405</v>
      </c>
      <c r="C62" s="6" t="str">
        <f aca="false">'WR LLB'!C51</f>
        <v>Wettbewerbs-/ Marken- &amp; Kartellrecht</v>
      </c>
      <c r="D62" s="7" t="str">
        <f aca="false">'WR LLB'!D51</f>
        <v>1402, 042B-403-P</v>
      </c>
      <c r="E62" s="6" t="n">
        <f aca="false">'WR LLB'!E51</f>
        <v>15</v>
      </c>
      <c r="F62" s="28" t="n">
        <f aca="false">'WR LLB'!F51</f>
        <v>0.5</v>
      </c>
      <c r="G62" s="6" t="str">
        <f aca="false">'WR LLB'!G51</f>
        <v>1-Mi</v>
      </c>
      <c r="H62" s="8" t="n">
        <f aca="false">'WR LLB'!H51</f>
        <v>46043</v>
      </c>
      <c r="I62" s="6" t="str">
        <f aca="false">'WR LLB'!I51</f>
        <v>11:45 – 13:45</v>
      </c>
      <c r="J62" s="6" t="str">
        <f aca="false">'WR LLB'!J51</f>
        <v>C3.10, A0.12</v>
      </c>
      <c r="K62" s="9" t="str">
        <f aca="false">'WR LLB'!K51</f>
        <v>Reich, Anke, Frau Prof. Dr. (Prof) - 4.000 SWS</v>
      </c>
      <c r="L62" s="1" t="n">
        <f aca="false">'BWL BSc u. BWL ÖD BSc'!L64</f>
        <v>0</v>
      </c>
      <c r="M62" s="1" t="n">
        <f aca="false">'BWL BSc u. BWL ÖD BSc'!M64</f>
        <v>0</v>
      </c>
    </row>
    <row r="63" customFormat="false" ht="14.15" hidden="false" customHeight="false" outlineLevel="0" collapsed="false">
      <c r="A63" s="6" t="str">
        <f aca="false">'AI VZ u. AIOED BSc dual'!A6</f>
        <v>20252</v>
      </c>
      <c r="B63" s="6" t="str">
        <f aca="false">'AI VZ u. AIOED BSc dual'!B6</f>
        <v>938/D04-2103 (A)</v>
      </c>
      <c r="C63" s="6" t="str">
        <f aca="false">'AI VZ u. AIOED BSc dual'!C6</f>
        <v>Datenbanken I</v>
      </c>
      <c r="D63" s="6" t="n">
        <f aca="false">'AI VZ u. AIOED BSc dual'!D6</f>
        <v>1103</v>
      </c>
      <c r="E63" s="6" t="n">
        <f aca="false">'AI VZ u. AIOED BSc dual'!E6</f>
        <v>38</v>
      </c>
      <c r="F63" s="6" t="n">
        <f aca="false">'AI VZ u. AIOED BSc dual'!F6</f>
        <v>0</v>
      </c>
      <c r="G63" s="6" t="str">
        <f aca="false">'AI VZ u. AIOED BSc dual'!G6</f>
        <v>1-Mi</v>
      </c>
      <c r="H63" s="8" t="n">
        <f aca="false">'AI VZ u. AIOED BSc dual'!H6</f>
        <v>46043</v>
      </c>
      <c r="I63" s="6" t="str">
        <f aca="false">'AI VZ u. AIOED BSc dual'!I6</f>
        <v>08:15 - 09:45</v>
      </c>
      <c r="J63" s="6" t="str">
        <f aca="false">'AI VZ u. AIOED BSc dual'!J6</f>
        <v>d0.01</v>
      </c>
      <c r="K63" s="9" t="str">
        <f aca="false">'AI VZ u. AIOED BSc dual'!K6</f>
        <v>Klauer, Thomas, Herr Prof. Dr. (Prof) - 4.000 SWS</v>
      </c>
      <c r="L63" s="1" t="n">
        <f aca="false">'BWL BSc u. BWL ÖD BSc'!L65</f>
        <v>0</v>
      </c>
      <c r="M63" s="1" t="n">
        <f aca="false">'BWL BSc u. BWL ÖD BSc'!M65</f>
        <v>0</v>
      </c>
    </row>
    <row r="64" customFormat="false" ht="14.15" hidden="false" customHeight="false" outlineLevel="0" collapsed="false">
      <c r="A64" s="6" t="str">
        <f aca="false">'AI VZ u. AIOED BSc dual'!A7</f>
        <v>20252</v>
      </c>
      <c r="B64" s="6" t="str">
        <f aca="false">'AI VZ u. AIOED BSc dual'!B7</f>
        <v>938/D04-2103 (B)</v>
      </c>
      <c r="C64" s="6" t="str">
        <f aca="false">'AI VZ u. AIOED BSc dual'!C7</f>
        <v>Datenbanken I</v>
      </c>
      <c r="D64" s="6" t="n">
        <f aca="false">'AI VZ u. AIOED BSc dual'!D7</f>
        <v>0</v>
      </c>
      <c r="E64" s="6" t="n">
        <f aca="false">'AI VZ u. AIOED BSc dual'!E7</f>
        <v>33</v>
      </c>
      <c r="F64" s="6" t="n">
        <f aca="false">'AI VZ u. AIOED BSc dual'!F7</f>
        <v>0</v>
      </c>
      <c r="G64" s="6" t="str">
        <f aca="false">'AI VZ u. AIOED BSc dual'!G7</f>
        <v>1-Mi</v>
      </c>
      <c r="H64" s="8" t="n">
        <f aca="false">'AI VZ u. AIOED BSc dual'!H7</f>
        <v>46043</v>
      </c>
      <c r="I64" s="6" t="str">
        <f aca="false">'AI VZ u. AIOED BSc dual'!I7</f>
        <v>08:15 - 09:45</v>
      </c>
      <c r="J64" s="6" t="str">
        <f aca="false">'AI VZ u. AIOED BSc dual'!J7</f>
        <v>d0.03</v>
      </c>
      <c r="K64" s="9" t="str">
        <f aca="false">'AI VZ u. AIOED BSc dual'!K7</f>
        <v>Borchert, Christian, Herr (LBA) - 4.000 SWS</v>
      </c>
      <c r="L64" s="1" t="n">
        <f aca="false">'BWL BSc u. BWL ÖD BSc'!L66</f>
        <v>0</v>
      </c>
      <c r="M64" s="1" t="n">
        <f aca="false">'BWL BSc u. BWL ÖD BSc'!M66</f>
        <v>0</v>
      </c>
    </row>
    <row r="65" customFormat="false" ht="14.15" hidden="false" customHeight="false" outlineLevel="0" collapsed="false">
      <c r="A65" s="6" t="str">
        <f aca="false">'AI VZ u. AIOED BSc dual'!A26</f>
        <v>20252</v>
      </c>
      <c r="B65" s="6" t="str">
        <f aca="false">'AI VZ u. AIOED BSc dual'!B26</f>
        <v>938/D04-2302 (A)</v>
      </c>
      <c r="C65" s="6" t="str">
        <f aca="false">'AI VZ u. AIOED BSc dual'!C26</f>
        <v>Web Technologien</v>
      </c>
      <c r="D65" s="6" t="n">
        <f aca="false">'AI VZ u. AIOED BSc dual'!D26</f>
        <v>1302</v>
      </c>
      <c r="E65" s="6" t="n">
        <f aca="false">'AI VZ u. AIOED BSc dual'!E26</f>
        <v>37</v>
      </c>
      <c r="F65" s="6" t="n">
        <f aca="false">'AI VZ u. AIOED BSc dual'!F26</f>
        <v>0</v>
      </c>
      <c r="G65" s="6" t="str">
        <f aca="false">'AI VZ u. AIOED BSc dual'!G26</f>
        <v>1-Mi</v>
      </c>
      <c r="H65" s="8" t="n">
        <f aca="false">'AI VZ u. AIOED BSc dual'!H26</f>
        <v>46043</v>
      </c>
      <c r="I65" s="6" t="str">
        <f aca="false">'AI VZ u. AIOED BSc dual'!I26</f>
        <v>13:30 - 15:00</v>
      </c>
      <c r="J65" s="6" t="str">
        <f aca="false">'AI VZ u. AIOED BSc dual'!J26</f>
        <v>Aula</v>
      </c>
      <c r="K65" s="9" t="str">
        <f aca="false">'AI VZ u. AIOED BSc dual'!K26</f>
        <v>Frank, Johannes Herr (LB)- 4.000 SWS</v>
      </c>
      <c r="L65" s="1" t="n">
        <f aca="false">'BWL BSc u. BWL ÖD BSc'!L67</f>
        <v>0</v>
      </c>
      <c r="M65" s="1" t="n">
        <f aca="false">'BWL BSc u. BWL ÖD BSc'!M67</f>
        <v>0</v>
      </c>
    </row>
    <row r="66" customFormat="false" ht="14.15" hidden="false" customHeight="false" outlineLevel="0" collapsed="false">
      <c r="A66" s="6" t="str">
        <f aca="false">'AI VZ u. AIOED BSc dual'!A27</f>
        <v>20252</v>
      </c>
      <c r="B66" s="6" t="str">
        <f aca="false">'AI VZ u. AIOED BSc dual'!B27</f>
        <v>938/D04-2302 (B)</v>
      </c>
      <c r="C66" s="6" t="str">
        <f aca="false">'AI VZ u. AIOED BSc dual'!C27</f>
        <v>Web Technologien</v>
      </c>
      <c r="D66" s="6" t="n">
        <f aca="false">'AI VZ u. AIOED BSc dual'!D27</f>
        <v>0</v>
      </c>
      <c r="E66" s="6" t="n">
        <f aca="false">'AI VZ u. AIOED BSc dual'!E27</f>
        <v>25</v>
      </c>
      <c r="F66" s="6" t="n">
        <f aca="false">'AI VZ u. AIOED BSc dual'!F27</f>
        <v>0</v>
      </c>
      <c r="G66" s="6" t="str">
        <f aca="false">'AI VZ u. AIOED BSc dual'!G27</f>
        <v>1-Mi</v>
      </c>
      <c r="H66" s="8" t="n">
        <f aca="false">'AI VZ u. AIOED BSc dual'!H27</f>
        <v>46043</v>
      </c>
      <c r="I66" s="6" t="str">
        <f aca="false">'AI VZ u. AIOED BSc dual'!I27</f>
        <v>13:30 - 15:00</v>
      </c>
      <c r="J66" s="6" t="str">
        <f aca="false">'AI VZ u. AIOED BSc dual'!J27</f>
        <v>Aula</v>
      </c>
      <c r="K66" s="9" t="str">
        <f aca="false">'AI VZ u. AIOED BSc dual'!K27</f>
        <v>Böhm, Klaus, Herr Prof. Dr. (Prof) - 4.000 SWS</v>
      </c>
      <c r="L66" s="1" t="n">
        <f aca="false">'BWL BSc u. BWL ÖD BSc'!L68</f>
        <v>0</v>
      </c>
      <c r="M66" s="1" t="n">
        <f aca="false">'BWL BSc u. BWL ÖD BSc'!M68</f>
        <v>0</v>
      </c>
    </row>
    <row r="67" customFormat="false" ht="14.15" hidden="false" customHeight="false" outlineLevel="0" collapsed="false">
      <c r="A67" s="6" t="str">
        <f aca="false">'IB BSc'!A3</f>
        <v>20252</v>
      </c>
      <c r="B67" s="6" t="str">
        <f aca="false">'IB BSc'!B3</f>
        <v>964B-102</v>
      </c>
      <c r="C67" s="6" t="str">
        <f aca="false">'IB BSc'!C3</f>
        <v>Fundamentals of Accounting</v>
      </c>
      <c r="D67" s="6" t="n">
        <f aca="false">'IB BSc'!D3</f>
        <v>0</v>
      </c>
      <c r="E67" s="6" t="n">
        <f aca="false">'IB BSc'!E3</f>
        <v>28</v>
      </c>
      <c r="F67" s="6" t="n">
        <f aca="false">'IB BSc'!F3</f>
        <v>0</v>
      </c>
      <c r="G67" s="6" t="str">
        <f aca="false">'IB BSc'!G3</f>
        <v>1-Mi</v>
      </c>
      <c r="H67" s="8" t="n">
        <f aca="false">'IB BSc'!H3</f>
        <v>46043</v>
      </c>
      <c r="I67" s="6" t="str">
        <f aca="false">'IB BSc'!I3</f>
        <v>07:45 - 09:15</v>
      </c>
      <c r="J67" s="6" t="str">
        <f aca="false">'IB BSc'!J3</f>
        <v>a3.10</v>
      </c>
      <c r="K67" s="9" t="str">
        <f aca="false">'IB BSc'!K3</f>
        <v>Drozd, Nataliia, Frau (LBA) - 4.000 SWS</v>
      </c>
      <c r="L67" s="1" t="n">
        <f aca="false">'BWL BSc u. BWL ÖD BSc'!L69</f>
        <v>0</v>
      </c>
      <c r="M67" s="1" t="n">
        <f aca="false">'BWL BSc u. BWL ÖD BSc'!M69</f>
        <v>0</v>
      </c>
    </row>
    <row r="68" customFormat="false" ht="14.15" hidden="false" customHeight="false" outlineLevel="0" collapsed="false">
      <c r="A68" s="6" t="str">
        <f aca="false">'CSM BSc'!A4</f>
        <v>20252</v>
      </c>
      <c r="B68" s="6" t="str">
        <f aca="false">'CSM BSc'!B4</f>
        <v>F25B-103</v>
      </c>
      <c r="C68" s="6" t="str">
        <f aca="false">'CSM BSc'!C4</f>
        <v>Grundlagen der Resilienz</v>
      </c>
      <c r="D68" s="6" t="n">
        <f aca="false">'CSM BSc'!D4</f>
        <v>0</v>
      </c>
      <c r="E68" s="6" t="n">
        <f aca="false">'CSM BSc'!E4</f>
        <v>27</v>
      </c>
      <c r="F68" s="6" t="n">
        <f aca="false">'CSM BSc'!F4</f>
        <v>0</v>
      </c>
      <c r="G68" s="6" t="str">
        <f aca="false">'CSM BSc'!G4</f>
        <v>1-Mi</v>
      </c>
      <c r="H68" s="8" t="n">
        <f aca="false">'CSM BSc'!H4</f>
        <v>46043</v>
      </c>
      <c r="I68" s="6" t="str">
        <f aca="false">'CSM BSc'!I4</f>
        <v>08:15 - 09:45</v>
      </c>
      <c r="J68" s="6" t="str">
        <f aca="false">'CSM BSc'!J4</f>
        <v>c3.10</v>
      </c>
      <c r="K68" s="9" t="str">
        <f aca="false">'CSM BSc'!K4</f>
        <v>Loomans, Dirk, Herr Prof. Dr. (LBA) - 4.000 SWS</v>
      </c>
      <c r="L68" s="1" t="n">
        <f aca="false">'BWL BSc u. BWL ÖD BSc'!L70</f>
        <v>0</v>
      </c>
      <c r="M68" s="1" t="n">
        <f aca="false">'BWL BSc u. BWL ÖD BSc'!M70</f>
        <v>0</v>
      </c>
    </row>
    <row r="69" customFormat="false" ht="14.15" hidden="false" customHeight="false" outlineLevel="0" collapsed="false">
      <c r="A69" s="6" t="str">
        <f aca="false">'WPFS Bachelor'!A45</f>
        <v>20252</v>
      </c>
      <c r="B69" s="6" t="str">
        <f aca="false">'WPFS Bachelor'!B45</f>
        <v>000-440018</v>
      </c>
      <c r="C69" s="9" t="str">
        <f aca="false">'WPFS Bachelor'!C45</f>
        <v>Die Wirtschafts- und Sozialordnung Deutschlands</v>
      </c>
      <c r="D69" s="7" t="str">
        <f aca="false">'WPFS Bachelor'!D45</f>
        <v>B09-60352</v>
      </c>
      <c r="E69" s="6" t="n">
        <f aca="false">'WPFS Bachelor'!E45</f>
        <v>25</v>
      </c>
      <c r="F69" s="6" t="n">
        <f aca="false">'WPFS Bachelor'!F45</f>
        <v>0</v>
      </c>
      <c r="G69" s="6" t="str">
        <f aca="false">'WPFS Bachelor'!G45</f>
        <v>1-Mi</v>
      </c>
      <c r="H69" s="8" t="n">
        <f aca="false">'WPFS Bachelor'!H45</f>
        <v>46043</v>
      </c>
      <c r="I69" s="6" t="str">
        <f aca="false">'WPFS Bachelor'!I45</f>
        <v>18:30 - 20:30 </v>
      </c>
      <c r="J69" s="6" t="str">
        <f aca="false">'WPFS Bachelor'!J45</f>
        <v>a3.10</v>
      </c>
      <c r="K69" s="9" t="str">
        <f aca="false">'WPFS Bachelor'!K45</f>
        <v>Schüle, Ulrich, Herr Prof. Dr. (Prof) - 4.000 SWS</v>
      </c>
      <c r="L69" s="1" t="n">
        <f aca="false">'BWL BSc u. BWL ÖD BSc'!L71</f>
        <v>0</v>
      </c>
      <c r="M69" s="1" t="n">
        <f aca="false">'BWL BSc u. BWL ÖD BSc'!M71</f>
        <v>0</v>
      </c>
    </row>
    <row r="70" customFormat="false" ht="14.15" hidden="false" customHeight="false" outlineLevel="0" collapsed="false">
      <c r="A70" s="6" t="str">
        <f aca="false">Optionen!A29</f>
        <v>w</v>
      </c>
      <c r="B70" s="6" t="str">
        <f aca="false">Optionen!B29</f>
        <v>000-17051</v>
      </c>
      <c r="C70" s="9" t="str">
        <f aca="false">Optionen!C29</f>
        <v>Internationale Rechnungslegung</v>
      </c>
      <c r="D70" s="6" t="n">
        <f aca="false">Optionen!D29</f>
        <v>0</v>
      </c>
      <c r="E70" s="6" t="n">
        <f aca="false">Optionen!E29</f>
        <v>0</v>
      </c>
      <c r="F70" s="6" t="n">
        <f aca="false">Optionen!F29</f>
        <v>0</v>
      </c>
      <c r="G70" s="6" t="str">
        <f aca="false">Optionen!G29</f>
        <v>1-Mi</v>
      </c>
      <c r="H70" s="8" t="n">
        <f aca="false">Optionen!H29</f>
        <v>46043</v>
      </c>
      <c r="I70" s="6" t="str">
        <f aca="false">Optionen!I29</f>
        <v>08:00 - 10:00</v>
      </c>
      <c r="J70" s="6" t="n">
        <f aca="false">Optionen!J29</f>
        <v>0</v>
      </c>
      <c r="K70" s="9" t="str">
        <f aca="false">Optionen!K29</f>
        <v>Lorenz, Karsten, Herr Prof. Dr. (Prof) - 4.000 SWS</v>
      </c>
      <c r="L70" s="1" t="n">
        <f aca="false">'BWL BSc u. BWL ÖD BSc'!L72</f>
        <v>0</v>
      </c>
      <c r="M70" s="1" t="n">
        <f aca="false">'BWL BSc u. BWL ÖD BSc'!M72</f>
        <v>0</v>
      </c>
    </row>
    <row r="71" customFormat="false" ht="26.85" hidden="false" customHeight="false" outlineLevel="0" collapsed="false">
      <c r="A71" s="6" t="str">
        <f aca="false">Optionen!A55</f>
        <v>w</v>
      </c>
      <c r="B71" s="6" t="str">
        <f aca="false">Optionen!B55</f>
        <v>000-28051</v>
      </c>
      <c r="C71" s="9" t="str">
        <f aca="false">Optionen!C55</f>
        <v>Wirtschaftsstrafrecht und Criminal Compliance in der Unternehmenspraxis</v>
      </c>
      <c r="D71" s="6" t="n">
        <f aca="false">Optionen!D55</f>
        <v>0</v>
      </c>
      <c r="E71" s="6" t="n">
        <f aca="false">Optionen!E55</f>
        <v>3</v>
      </c>
      <c r="F71" s="6" t="n">
        <f aca="false">Optionen!F55</f>
        <v>0</v>
      </c>
      <c r="G71" s="6" t="str">
        <f aca="false">Optionen!G55</f>
        <v>1-Mi</v>
      </c>
      <c r="H71" s="8" t="n">
        <f aca="false">Optionen!H55</f>
        <v>46043</v>
      </c>
      <c r="I71" s="6" t="str">
        <f aca="false">Optionen!I55</f>
        <v>16:00 - 18:00</v>
      </c>
      <c r="J71" s="6" t="str">
        <f aca="false">Optionen!J55</f>
        <v>a3.04</v>
      </c>
      <c r="K71" s="9" t="str">
        <f aca="false">Optionen!K55</f>
        <v>Neuenfeldt, Stina, Frau (LBA) - 1.000 SWS;Merschmöller, Lucas, Herr (LBA) - 3.000 SWS</v>
      </c>
      <c r="L71" s="1" t="n">
        <f aca="false">'BWL BSc u. BWL ÖD BSc'!L73</f>
        <v>0</v>
      </c>
      <c r="M71" s="1" t="n">
        <f aca="false">'BWL BSc u. BWL ÖD BSc'!M73</f>
        <v>0</v>
      </c>
    </row>
    <row r="72" customFormat="false" ht="14.15" hidden="false" customHeight="false" outlineLevel="0" collapsed="false">
      <c r="A72" s="6" t="str">
        <f aca="false">'WR LLM'!A3</f>
        <v>w</v>
      </c>
      <c r="B72" s="6" t="str">
        <f aca="false">'WR LLM'!B3</f>
        <v>932-60102</v>
      </c>
      <c r="C72" s="9" t="str">
        <f aca="false">'WR LLM'!C3</f>
        <v>Arbeitsschutzrecht</v>
      </c>
      <c r="D72" s="6" t="n">
        <f aca="false">'WR LLM'!D3</f>
        <v>0</v>
      </c>
      <c r="E72" s="6" t="n">
        <f aca="false">'WR LLM'!E3</f>
        <v>5</v>
      </c>
      <c r="F72" s="6" t="n">
        <f aca="false">'WR LLM'!F3</f>
        <v>0</v>
      </c>
      <c r="G72" s="6" t="str">
        <f aca="false">'WR LLM'!G3</f>
        <v>1-Mi</v>
      </c>
      <c r="H72" s="8" t="n">
        <f aca="false">'WR LLM'!H3</f>
        <v>46043</v>
      </c>
      <c r="I72" s="6" t="str">
        <f aca="false">'WR LLM'!I3</f>
        <v>09:30 - 11:30</v>
      </c>
      <c r="J72" s="6" t="str">
        <f aca="false">'WR LLM'!J3</f>
        <v>b1.01/b1.03</v>
      </c>
      <c r="K72" s="9" t="str">
        <f aca="false">'WR LLM'!K3</f>
        <v>Dahm, Katharina, Frau Prof. Dr. (Prof) - 4.000 SWS</v>
      </c>
      <c r="L72" s="1" t="n">
        <f aca="false">'BWL BSc u. BWL ÖD BSc'!L74</f>
        <v>0</v>
      </c>
      <c r="M72" s="1" t="n">
        <f aca="false">'BWL BSc u. BWL ÖD BSc'!M74</f>
        <v>0</v>
      </c>
    </row>
    <row r="73" customFormat="false" ht="14.15" hidden="false" customHeight="false" outlineLevel="0" collapsed="false">
      <c r="A73" s="6" t="str">
        <f aca="false">'Management MSc'!A2</f>
        <v>20252</v>
      </c>
      <c r="B73" s="6" t="str">
        <f aca="false">'Management MSc'!B2</f>
        <v>996-61102</v>
      </c>
      <c r="C73" s="9" t="str">
        <f aca="false">'Management MSc'!C2</f>
        <v>Advanced Marketing Strategies (50% Klausur, 50% Präsentation)</v>
      </c>
      <c r="D73" s="7" t="n">
        <f aca="false">'Management MSc'!D2</f>
        <v>0</v>
      </c>
      <c r="E73" s="6" t="n">
        <f aca="false">'Management MSc'!E2</f>
        <v>29</v>
      </c>
      <c r="F73" s="6" t="n">
        <f aca="false">'Management MSc'!F2</f>
        <v>0</v>
      </c>
      <c r="G73" s="6" t="str">
        <f aca="false">'Management MSc'!G2</f>
        <v>1-Mi</v>
      </c>
      <c r="H73" s="8" t="n">
        <f aca="false">'Management MSc'!H2</f>
        <v>46043</v>
      </c>
      <c r="I73" s="6" t="str">
        <f aca="false">'Management MSc'!I2</f>
        <v>16:00 - 17:00</v>
      </c>
      <c r="J73" s="6" t="str">
        <f aca="false">'Management MSc'!J2</f>
        <v>d0.01</v>
      </c>
      <c r="K73" s="9" t="str">
        <f aca="false">'Management MSc'!K2</f>
        <v>Kostyra, Daniel, Herr Prof. Dr. (Prof) - 4.000 SWS</v>
      </c>
      <c r="L73" s="1" t="n">
        <f aca="false">'BWL BSc u. BWL ÖD BSc'!L75</f>
        <v>0</v>
      </c>
      <c r="M73" s="1" t="n">
        <f aca="false">'BWL BSc u. BWL ÖD BSc'!M75</f>
        <v>0</v>
      </c>
    </row>
    <row r="74" customFormat="false" ht="26.85" hidden="false" customHeight="false" outlineLevel="0" collapsed="false">
      <c r="A74" s="6" t="str">
        <f aca="false">'IB &amp; IMLA MA'!A28</f>
        <v>w</v>
      </c>
      <c r="B74" s="6" t="str">
        <f aca="false">'IB &amp; IMLA MA'!B28</f>
        <v>964-60251</v>
      </c>
      <c r="C74" s="6" t="str">
        <f aca="false">'IB &amp; IMLA MA'!C28</f>
        <v>Strategic Management</v>
      </c>
      <c r="D74" s="6" t="n">
        <f aca="false">'IB &amp; IMLA MA'!D28</f>
        <v>0</v>
      </c>
      <c r="E74" s="6" t="n">
        <f aca="false">'IB &amp; IMLA MA'!E28</f>
        <v>1</v>
      </c>
      <c r="F74" s="6" t="n">
        <f aca="false">'IB &amp; IMLA MA'!F28</f>
        <v>0</v>
      </c>
      <c r="G74" s="6" t="str">
        <f aca="false">'IB &amp; IMLA MA'!G28</f>
        <v>1-Mi</v>
      </c>
      <c r="H74" s="8" t="n">
        <f aca="false">'IB &amp; IMLA MA'!H28</f>
        <v>46043</v>
      </c>
      <c r="I74" s="6" t="str">
        <f aca="false">'IB &amp; IMLA MA'!I28</f>
        <v>16:00 - 18:00</v>
      </c>
      <c r="J74" s="6" t="str">
        <f aca="false">'IB &amp; IMLA MA'!J28</f>
        <v>C3.06</v>
      </c>
      <c r="K74" s="9" t="str">
        <f aca="false">'IB &amp; IMLA MA'!K28</f>
        <v>Schrank, Randolf, Herr Prof. Dr. (Prof) - 3.000 SWS;Rete, Oscar Miguel, Herr (LBA) - 1.000 SWS</v>
      </c>
      <c r="L74" s="1" t="n">
        <f aca="false">'BWL BSc u. BWL ÖD BSc'!L76</f>
        <v>0</v>
      </c>
      <c r="M74" s="1" t="n">
        <f aca="false">'BWL BSc u. BWL ÖD BSc'!M76</f>
        <v>0</v>
      </c>
    </row>
    <row r="75" customFormat="false" ht="26.85" hidden="false" customHeight="false" outlineLevel="0" collapsed="false">
      <c r="A75" s="6" t="str">
        <f aca="false">'IB &amp; IMLA MA'!A29</f>
        <v>w</v>
      </c>
      <c r="B75" s="6" t="str">
        <f aca="false">'IB &amp; IMLA MA'!B29</f>
        <v>B09-60251</v>
      </c>
      <c r="C75" s="6" t="str">
        <f aca="false">'IB &amp; IMLA MA'!C29</f>
        <v>Strategic Management</v>
      </c>
      <c r="D75" s="6" t="n">
        <f aca="false">'IB &amp; IMLA MA'!D29</f>
        <v>0</v>
      </c>
      <c r="E75" s="6" t="n">
        <f aca="false">'IB &amp; IMLA MA'!E29</f>
        <v>0</v>
      </c>
      <c r="F75" s="6" t="n">
        <f aca="false">'IB &amp; IMLA MA'!F29</f>
        <v>0</v>
      </c>
      <c r="G75" s="6" t="str">
        <f aca="false">'IB &amp; IMLA MA'!G29</f>
        <v>1-Mi</v>
      </c>
      <c r="H75" s="8" t="n">
        <f aca="false">'IB &amp; IMLA MA'!H29</f>
        <v>46043</v>
      </c>
      <c r="I75" s="6" t="str">
        <f aca="false">'IB &amp; IMLA MA'!I29</f>
        <v>16:00 - 18:00</v>
      </c>
      <c r="J75" s="6" t="n">
        <f aca="false">'IB &amp; IMLA MA'!J29</f>
        <v>0</v>
      </c>
      <c r="K75" s="9" t="str">
        <f aca="false">'IB &amp; IMLA MA'!K29</f>
        <v>Schrank, Randolf, Herr Prof. Dr. (Prof) - 3.000 SWS;Rete, Oscar Miguel, Herr (LBA) - 1.000 SWS</v>
      </c>
      <c r="L75" s="1" t="n">
        <f aca="false">'BWL BSc u. BWL ÖD BSc'!L77</f>
        <v>0</v>
      </c>
      <c r="M75" s="1" t="n">
        <f aca="false">'BWL BSc u. BWL ÖD BSc'!M77</f>
        <v>0</v>
      </c>
    </row>
    <row r="76" customFormat="false" ht="26.85" hidden="false" customHeight="false" outlineLevel="0" collapsed="false">
      <c r="A76" s="6" t="str">
        <f aca="false">'IB &amp; IMLA MA'!A39</f>
        <v>20252</v>
      </c>
      <c r="B76" s="6" t="str">
        <f aca="false">'IB &amp; IMLA MA'!B39</f>
        <v>F39M-111</v>
      </c>
      <c r="C76" s="9" t="str">
        <f aca="false">'IB &amp; IMLA MA'!C39</f>
        <v>Germany and EU: History and political (nur argentinische Studierende)</v>
      </c>
      <c r="D76" s="7" t="str">
        <f aca="false">'IB &amp; IMLA MA'!D39</f>
        <v>000-440018, B09-60352</v>
      </c>
      <c r="E76" s="6" t="n">
        <f aca="false">'IB &amp; IMLA MA'!E39</f>
        <v>25</v>
      </c>
      <c r="F76" s="6" t="n">
        <f aca="false">'IB &amp; IMLA MA'!F39</f>
        <v>0</v>
      </c>
      <c r="G76" s="6" t="str">
        <f aca="false">'IB &amp; IMLA MA'!G39</f>
        <v>1-Mi</v>
      </c>
      <c r="H76" s="8" t="n">
        <f aca="false">'IB &amp; IMLA MA'!H39</f>
        <v>46043</v>
      </c>
      <c r="I76" s="6" t="str">
        <f aca="false">'IB &amp; IMLA MA'!I39</f>
        <v>18:30 - 20:30 </v>
      </c>
      <c r="J76" s="6" t="str">
        <f aca="false">'IB &amp; IMLA MA'!J39</f>
        <v>a3.10</v>
      </c>
      <c r="K76" s="9" t="str">
        <f aca="false">'IB &amp; IMLA MA'!K39</f>
        <v>Schüle, Ulrich, Herr Prof. Dr. (Prof) - 4.000 SWS</v>
      </c>
      <c r="L76" s="1" t="n">
        <f aca="false">'BWL BSc u. BWL ÖD BSc'!L78</f>
        <v>0</v>
      </c>
      <c r="M76" s="1" t="n">
        <f aca="false">'BWL BSc u. BWL ÖD BSc'!M78</f>
        <v>0</v>
      </c>
    </row>
    <row r="77" customFormat="false" ht="14.15" hidden="false" customHeight="false" outlineLevel="0" collapsed="false">
      <c r="A77" s="6" t="str">
        <f aca="false">'BA MSc'!A8</f>
        <v>20252</v>
      </c>
      <c r="B77" s="6" t="str">
        <f aca="false">'BA MSc'!B8</f>
        <v>A23-70155</v>
      </c>
      <c r="C77" s="9" t="str">
        <f aca="false">'BA MSc'!C8</f>
        <v>Economic Framework for Entrepreneurial Decisions</v>
      </c>
      <c r="D77" s="6" t="n">
        <f aca="false">'BA MSc'!D8</f>
        <v>60155</v>
      </c>
      <c r="E77" s="6" t="n">
        <f aca="false">'BA MSc'!E8</f>
        <v>30</v>
      </c>
      <c r="F77" s="6" t="n">
        <f aca="false">'BA MSc'!F8</f>
        <v>0</v>
      </c>
      <c r="G77" s="6" t="str">
        <f aca="false">'BA MSc'!G8</f>
        <v>1-Mi</v>
      </c>
      <c r="H77" s="8" t="n">
        <f aca="false">'BA MSc'!H8</f>
        <v>46043</v>
      </c>
      <c r="I77" s="6" t="str">
        <f aca="false">'BA MSc'!I8</f>
        <v>13:45 - 15:45</v>
      </c>
      <c r="J77" s="6" t="str">
        <f aca="false">'BA MSc'!J8</f>
        <v>d0.03</v>
      </c>
      <c r="K77" s="9" t="str">
        <f aca="false">'BA MSc'!K8</f>
        <v>Bartels, Bernhard, Herr Prof. Dr. (Prof) - 4.000 SWS</v>
      </c>
      <c r="L77" s="1" t="n">
        <f aca="false">'BWL BSc u. BWL ÖD BSc'!L79</f>
        <v>0</v>
      </c>
      <c r="M77" s="1" t="n">
        <f aca="false">'BWL BSc u. BWL ÖD BSc'!M79</f>
        <v>0</v>
      </c>
    </row>
    <row r="78" customFormat="false" ht="14.15" hidden="false" customHeight="false" outlineLevel="0" collapsed="false">
      <c r="A78" s="6" t="str">
        <f aca="false">'BA MSc'!A15</f>
        <v>w</v>
      </c>
      <c r="B78" s="6" t="str">
        <f aca="false">'BA MSc'!B15</f>
        <v>A23-70256</v>
      </c>
      <c r="C78" s="9" t="str">
        <f aca="false">'BA MSc'!C15</f>
        <v>Supply Chain Management</v>
      </c>
      <c r="D78" s="6" t="n">
        <f aca="false">'BA MSc'!D15</f>
        <v>60256</v>
      </c>
      <c r="E78" s="6" t="n">
        <f aca="false">'BA MSc'!E15</f>
        <v>2</v>
      </c>
      <c r="F78" s="6" t="n">
        <f aca="false">'BA MSc'!F15</f>
        <v>0</v>
      </c>
      <c r="G78" s="6" t="str">
        <f aca="false">'BA MSc'!G15</f>
        <v>1-Mi</v>
      </c>
      <c r="H78" s="8" t="n">
        <f aca="false">'BA MSc'!H15</f>
        <v>46043</v>
      </c>
      <c r="I78" s="6" t="str">
        <f aca="false">'BA MSc'!I15</f>
        <v>09:30 - 11:30 </v>
      </c>
      <c r="J78" s="6" t="str">
        <f aca="false">'BA MSc'!J15</f>
        <v>b1.05/b1.07</v>
      </c>
      <c r="K78" s="9" t="str">
        <f aca="false">'BA MSc'!K15</f>
        <v>Berbner, Ulrich, Herr Prof. Dr. (Prof) - 3.000 SWS</v>
      </c>
      <c r="L78" s="1" t="n">
        <f aca="false">'BWL BSc u. BWL ÖD BSc'!L80</f>
        <v>0</v>
      </c>
      <c r="M78" s="1" t="n">
        <f aca="false">'BWL BSc u. BWL ÖD BSc'!M80</f>
        <v>0</v>
      </c>
    </row>
    <row r="79" customFormat="false" ht="13.8" hidden="false" customHeight="false" outlineLevel="0" collapsed="false">
      <c r="A79" s="37" t="n">
        <f aca="false">'WR LLB'!A16</f>
        <v>20252</v>
      </c>
      <c r="B79" s="6" t="str">
        <f aca="false">'WR LLB'!B16</f>
        <v>932-2111</v>
      </c>
      <c r="C79" s="6" t="str">
        <f aca="false">'WR LLB'!C16</f>
        <v>Buchführung (PAN)</v>
      </c>
      <c r="D79" s="6" t="n">
        <f aca="false">'WR LLB'!D16</f>
        <v>0</v>
      </c>
      <c r="E79" s="6" t="n">
        <f aca="false">'WR LLB'!E16</f>
        <v>48</v>
      </c>
      <c r="F79" s="6" t="n">
        <f aca="false">'WR LLB'!F16</f>
        <v>0</v>
      </c>
      <c r="G79" s="6" t="str">
        <f aca="false">'WR LLB'!G16</f>
        <v>1-Mi</v>
      </c>
      <c r="H79" s="8" t="n">
        <f aca="false">'WR LLB'!H16</f>
        <v>46043</v>
      </c>
      <c r="I79" s="6" t="str">
        <f aca="false">'WR LLB'!I16</f>
        <v>09:30 - 11:00</v>
      </c>
      <c r="J79" s="6" t="str">
        <f aca="false">'WR LLB'!J16</f>
        <v>c-1.11, c-1.13</v>
      </c>
      <c r="K79" s="6" t="str">
        <f aca="false">'WR LLB'!K16</f>
        <v>Löwenstein, Julia (Frau)</v>
      </c>
      <c r="L79" s="1" t="n">
        <f aca="false">'BWL BSc u. BWL ÖD BSc'!L81</f>
        <v>0</v>
      </c>
      <c r="M79" s="1" t="n">
        <f aca="false">'BWL BSc u. BWL ÖD BSc'!M81</f>
        <v>0</v>
      </c>
    </row>
    <row r="80" customFormat="false" ht="14.15" hidden="false" customHeight="false" outlineLevel="0" collapsed="false">
      <c r="A80" s="6" t="str">
        <f aca="false">'BWL BSc u. BWL ÖD BSc'!A29</f>
        <v>20252</v>
      </c>
      <c r="B80" s="6" t="str">
        <f aca="false">'BWL BSc u. BWL ÖD BSc'!B29</f>
        <v>021/D43-3202 (A)</v>
      </c>
      <c r="C80" s="6" t="str">
        <f aca="false">'BWL BSc u. BWL ÖD BSc'!C29</f>
        <v>Kosten- und Leistungsrechnung</v>
      </c>
      <c r="D80" s="7" t="str">
        <f aca="false">'BWL BSc u. BWL ÖD BSc'!D29</f>
        <v>2202, 1202</v>
      </c>
      <c r="E80" s="6" t="n">
        <f aca="false">'BWL BSc u. BWL ÖD BSc'!E29</f>
        <v>28</v>
      </c>
      <c r="F80" s="6" t="n">
        <f aca="false">'BWL BSc u. BWL ÖD BSc'!F29</f>
        <v>0</v>
      </c>
      <c r="G80" s="6" t="str">
        <f aca="false">'BWL BSc u. BWL ÖD BSc'!G29</f>
        <v>1-Do</v>
      </c>
      <c r="H80" s="8" t="n">
        <f aca="false">'BWL BSc u. BWL ÖD BSc'!H29</f>
        <v>46044</v>
      </c>
      <c r="I80" s="6" t="str">
        <f aca="false">'BWL BSc u. BWL ÖD BSc'!I29</f>
        <v>11:45 - 13:15</v>
      </c>
      <c r="J80" s="6" t="str">
        <f aca="false">'BWL BSc u. BWL ÖD BSc'!J29</f>
        <v>Aula</v>
      </c>
      <c r="K80" s="9" t="str">
        <f aca="false">'BWL BSc u. BWL ÖD BSc'!K29</f>
        <v>Rathje, Britta, Frau Prof. Dr. (Prof) - 4.000 SWS</v>
      </c>
      <c r="L80" s="1" t="n">
        <f aca="false">'BWL BSc u. BWL ÖD BSc'!L82</f>
        <v>0</v>
      </c>
      <c r="M80" s="1" t="n">
        <f aca="false">'BWL BSc u. BWL ÖD BSc'!M82</f>
        <v>0</v>
      </c>
    </row>
    <row r="81" customFormat="false" ht="14.15" hidden="false" customHeight="false" outlineLevel="0" collapsed="false">
      <c r="A81" s="6" t="str">
        <f aca="false">'BWL BSc u. BWL ÖD BSc'!A30</f>
        <v>20252</v>
      </c>
      <c r="B81" s="6" t="str">
        <f aca="false">'BWL BSc u. BWL ÖD BSc'!B30</f>
        <v>021-3202 (B)</v>
      </c>
      <c r="C81" s="6" t="str">
        <f aca="false">'BWL BSc u. BWL ÖD BSc'!C30</f>
        <v>Kosten- und Leistungsrechnung</v>
      </c>
      <c r="D81" s="7" t="n">
        <f aca="false">'BWL BSc u. BWL ÖD BSc'!D30</f>
        <v>0</v>
      </c>
      <c r="E81" s="6" t="n">
        <f aca="false">'BWL BSc u. BWL ÖD BSc'!E30</f>
        <v>25</v>
      </c>
      <c r="F81" s="6" t="n">
        <f aca="false">'BWL BSc u. BWL ÖD BSc'!F30</f>
        <v>0</v>
      </c>
      <c r="G81" s="6" t="str">
        <f aca="false">'BWL BSc u. BWL ÖD BSc'!G30</f>
        <v>1-Do</v>
      </c>
      <c r="H81" s="8" t="n">
        <f aca="false">'BWL BSc u. BWL ÖD BSc'!H30</f>
        <v>46044</v>
      </c>
      <c r="I81" s="6" t="str">
        <f aca="false">'BWL BSc u. BWL ÖD BSc'!I30</f>
        <v>11:45 - 13:15</v>
      </c>
      <c r="J81" s="6" t="str">
        <f aca="false">'BWL BSc u. BWL ÖD BSc'!J30</f>
        <v>Aula</v>
      </c>
      <c r="K81" s="9" t="str">
        <f aca="false">'BWL BSc u. BWL ÖD BSc'!K30</f>
        <v>Lennartz, Wolfgang, Herr Prof. Dr. (Prof) - 4.000 SWS</v>
      </c>
      <c r="L81" s="1" t="n">
        <f aca="false">'WR LLB'!L2</f>
        <v>0</v>
      </c>
      <c r="M81" s="1" t="n">
        <f aca="false">'WR LLB'!M2</f>
        <v>0</v>
      </c>
    </row>
    <row r="82" customFormat="false" ht="14.15" hidden="false" customHeight="false" outlineLevel="0" collapsed="false">
      <c r="A82" s="6" t="str">
        <f aca="false">'BWL BSc u. BWL ÖD BSc'!A31</f>
        <v>20252</v>
      </c>
      <c r="B82" s="6" t="str">
        <f aca="false">'BWL BSc u. BWL ÖD BSc'!B31</f>
        <v>021-3202 (C)</v>
      </c>
      <c r="C82" s="6" t="str">
        <f aca="false">'BWL BSc u. BWL ÖD BSc'!C31</f>
        <v>Kosten- und Leistungsrechnung</v>
      </c>
      <c r="D82" s="7" t="n">
        <f aca="false">'BWL BSc u. BWL ÖD BSc'!D31</f>
        <v>0</v>
      </c>
      <c r="E82" s="6" t="n">
        <f aca="false">'BWL BSc u. BWL ÖD BSc'!E31</f>
        <v>26</v>
      </c>
      <c r="F82" s="6" t="n">
        <f aca="false">'BWL BSc u. BWL ÖD BSc'!F31</f>
        <v>0</v>
      </c>
      <c r="G82" s="6" t="str">
        <f aca="false">'BWL BSc u. BWL ÖD BSc'!G31</f>
        <v>1-Do</v>
      </c>
      <c r="H82" s="8" t="n">
        <f aca="false">'BWL BSc u. BWL ÖD BSc'!H31</f>
        <v>46044</v>
      </c>
      <c r="I82" s="6" t="str">
        <f aca="false">'BWL BSc u. BWL ÖD BSc'!I31</f>
        <v>11:45 - 13:15</v>
      </c>
      <c r="J82" s="6" t="str">
        <f aca="false">'BWL BSc u. BWL ÖD BSc'!J31</f>
        <v>Aula</v>
      </c>
      <c r="K82" s="9" t="str">
        <f aca="false">'BWL BSc u. BWL ÖD BSc'!K31</f>
        <v>Landwehr-Zloch, Sabine, Frau Prof. Dr. (Prof) - 4.000 SWS</v>
      </c>
      <c r="L82" s="1" t="n">
        <f aca="false">'WR LLB'!L3</f>
        <v>0</v>
      </c>
      <c r="M82" s="1" t="n">
        <f aca="false">'WR LLB'!M3</f>
        <v>0</v>
      </c>
    </row>
    <row r="83" customFormat="false" ht="14.15" hidden="false" customHeight="false" outlineLevel="0" collapsed="false">
      <c r="A83" s="6" t="str">
        <f aca="false">'BWL BSc u. BWL ÖD BSc'!A32</f>
        <v>20252</v>
      </c>
      <c r="B83" s="6" t="str">
        <f aca="false">'BWL BSc u. BWL ÖD BSc'!B32</f>
        <v>021-3202/PAN</v>
      </c>
      <c r="C83" s="6" t="str">
        <f aca="false">'BWL BSc u. BWL ÖD BSc'!C32</f>
        <v>Kosten- und Leistungsrechnung (PAN)</v>
      </c>
      <c r="D83" s="7" t="n">
        <f aca="false">'BWL BSc u. BWL ÖD BSc'!D32</f>
        <v>0</v>
      </c>
      <c r="E83" s="6" t="n">
        <f aca="false">'BWL BSc u. BWL ÖD BSc'!E32</f>
        <v>33</v>
      </c>
      <c r="F83" s="6" t="n">
        <f aca="false">'BWL BSc u. BWL ÖD BSc'!F32</f>
        <v>0</v>
      </c>
      <c r="G83" s="6" t="str">
        <f aca="false">'BWL BSc u. BWL ÖD BSc'!G32</f>
        <v>1-Do</v>
      </c>
      <c r="H83" s="8" t="n">
        <f aca="false">'BWL BSc u. BWL ÖD BSc'!H32</f>
        <v>46044</v>
      </c>
      <c r="I83" s="6" t="str">
        <f aca="false">'BWL BSc u. BWL ÖD BSc'!I32</f>
        <v>11:45 - 13:15</v>
      </c>
      <c r="J83" s="6" t="str">
        <f aca="false">'BWL BSc u. BWL ÖD BSc'!J32</f>
        <v>Aula</v>
      </c>
      <c r="K83" s="9" t="str">
        <f aca="false">'BWL BSc u. BWL ÖD BSc'!K32</f>
        <v>Landwehr-Zloch, Sabine, Frau Prof. Dr. (Prof) - 4.000 SWS</v>
      </c>
      <c r="L83" s="1" t="n">
        <f aca="false">'WR LLB'!L4</f>
        <v>0</v>
      </c>
      <c r="M83" s="1" t="n">
        <f aca="false">'WR LLB'!M4</f>
        <v>0</v>
      </c>
    </row>
    <row r="84" customFormat="false" ht="14.15" hidden="false" customHeight="false" outlineLevel="0" collapsed="false">
      <c r="A84" s="6" t="str">
        <f aca="false">'BWL BSc u. BWL ÖD BSc'!A47</f>
        <v>20252</v>
      </c>
      <c r="B84" s="6" t="str">
        <f aca="false">'BWL BSc u. BWL ÖD BSc'!B47</f>
        <v>021/D43-3302 (A)</v>
      </c>
      <c r="C84" s="6" t="str">
        <f aca="false">'BWL BSc u. BWL ÖD BSc'!C47</f>
        <v>Investition &amp; Finanzierung</v>
      </c>
      <c r="D84" s="6" t="n">
        <f aca="false">'BWL BSc u. BWL ÖD BSc'!D47</f>
        <v>2302.1302</v>
      </c>
      <c r="E84" s="6" t="n">
        <f aca="false">'BWL BSc u. BWL ÖD BSc'!E47</f>
        <v>36</v>
      </c>
      <c r="F84" s="6" t="n">
        <f aca="false">'BWL BSc u. BWL ÖD BSc'!F47</f>
        <v>0</v>
      </c>
      <c r="G84" s="6" t="str">
        <f aca="false">'BWL BSc u. BWL ÖD BSc'!G47</f>
        <v>1-Do</v>
      </c>
      <c r="H84" s="8" t="n">
        <f aca="false">'BWL BSc u. BWL ÖD BSc'!H47</f>
        <v>46044</v>
      </c>
      <c r="I84" s="6" t="str">
        <f aca="false">'BWL BSc u. BWL ÖD BSc'!I47</f>
        <v>07:45 - 09:15</v>
      </c>
      <c r="J84" s="6" t="str">
        <f aca="false">'BWL BSc u. BWL ÖD BSc'!J47</f>
        <v>Aula</v>
      </c>
      <c r="K84" s="9" t="str">
        <f aca="false">'BWL BSc u. BWL ÖD BSc'!K47</f>
        <v>Schäfer, Christian, Herr Prof. Dr. (Prof) - 4.000 SWS</v>
      </c>
      <c r="L84" s="1" t="n">
        <f aca="false">'WR LLB'!L5</f>
        <v>0</v>
      </c>
      <c r="M84" s="1" t="n">
        <f aca="false">'WR LLB'!M5</f>
        <v>0</v>
      </c>
    </row>
    <row r="85" customFormat="false" ht="14.15" hidden="false" customHeight="false" outlineLevel="0" collapsed="false">
      <c r="A85" s="6" t="str">
        <f aca="false">'BWL BSc u. BWL ÖD BSc'!A48</f>
        <v>20252</v>
      </c>
      <c r="B85" s="6" t="str">
        <f aca="false">'BWL BSc u. BWL ÖD BSc'!B48</f>
        <v>021-3302 (B)</v>
      </c>
      <c r="C85" s="6" t="str">
        <f aca="false">'BWL BSc u. BWL ÖD BSc'!C48</f>
        <v>Investition &amp; Finanzierung</v>
      </c>
      <c r="D85" s="6" t="n">
        <f aca="false">'BWL BSc u. BWL ÖD BSc'!D48</f>
        <v>0</v>
      </c>
      <c r="E85" s="6" t="n">
        <f aca="false">'BWL BSc u. BWL ÖD BSc'!E48</f>
        <v>47</v>
      </c>
      <c r="F85" s="28" t="n">
        <f aca="false">'BWL BSc u. BWL ÖD BSc'!F48</f>
        <v>0.1</v>
      </c>
      <c r="G85" s="6" t="str">
        <f aca="false">'BWL BSc u. BWL ÖD BSc'!G48</f>
        <v>1-Do</v>
      </c>
      <c r="H85" s="8" t="n">
        <f aca="false">'BWL BSc u. BWL ÖD BSc'!H48</f>
        <v>46044</v>
      </c>
      <c r="I85" s="6" t="str">
        <f aca="false">'BWL BSc u. BWL ÖD BSc'!I48</f>
        <v>07:45 - 09:15</v>
      </c>
      <c r="J85" s="6" t="str">
        <f aca="false">'BWL BSc u. BWL ÖD BSc'!J48</f>
        <v>Aula, d0.01</v>
      </c>
      <c r="K85" s="9" t="str">
        <f aca="false">'BWL BSc u. BWL ÖD BSc'!K48</f>
        <v>Drozd, Nataliia, Frau (LBA) - 4.000 SWS</v>
      </c>
      <c r="L85" s="1" t="n">
        <f aca="false">'WR LLB'!L6</f>
        <v>0</v>
      </c>
      <c r="M85" s="1" t="n">
        <f aca="false">'WR LLB'!M6</f>
        <v>0</v>
      </c>
    </row>
    <row r="86" customFormat="false" ht="14.15" hidden="false" customHeight="false" outlineLevel="0" collapsed="false">
      <c r="A86" s="6" t="str">
        <f aca="false">'BWL BSc u. BWL ÖD BSc'!A49</f>
        <v>20252</v>
      </c>
      <c r="B86" s="6" t="str">
        <f aca="false">'BWL BSc u. BWL ÖD BSc'!B49</f>
        <v>021-3302 (C)</v>
      </c>
      <c r="C86" s="6" t="str">
        <f aca="false">'BWL BSc u. BWL ÖD BSc'!C49</f>
        <v>Investition &amp; Finanzierung</v>
      </c>
      <c r="D86" s="7" t="n">
        <f aca="false">'BWL BSc u. BWL ÖD BSc'!D49</f>
        <v>0</v>
      </c>
      <c r="E86" s="6" t="n">
        <f aca="false">'BWL BSc u. BWL ÖD BSc'!E49</f>
        <v>18</v>
      </c>
      <c r="F86" s="6" t="n">
        <f aca="false">'BWL BSc u. BWL ÖD BSc'!F49</f>
        <v>0</v>
      </c>
      <c r="G86" s="6" t="str">
        <f aca="false">'BWL BSc u. BWL ÖD BSc'!G49</f>
        <v>1-Do</v>
      </c>
      <c r="H86" s="8" t="n">
        <f aca="false">'BWL BSc u. BWL ÖD BSc'!H49</f>
        <v>46044</v>
      </c>
      <c r="I86" s="6" t="str">
        <f aca="false">'BWL BSc u. BWL ÖD BSc'!I49</f>
        <v>07:45 - 09:15</v>
      </c>
      <c r="J86" s="6" t="str">
        <f aca="false">'BWL BSc u. BWL ÖD BSc'!J49</f>
        <v>Aula</v>
      </c>
      <c r="K86" s="9" t="str">
        <f aca="false">'BWL BSc u. BWL ÖD BSc'!K49</f>
        <v>Hehn, Markus, Herr Prof. Dr. (Prof) - 4.000 SWS</v>
      </c>
      <c r="L86" s="1" t="n">
        <f aca="false">'WR LLB'!L7</f>
        <v>0</v>
      </c>
      <c r="M86" s="1" t="n">
        <f aca="false">'WR LLB'!M7</f>
        <v>0</v>
      </c>
    </row>
    <row r="87" customFormat="false" ht="14.15" hidden="false" customHeight="false" outlineLevel="0" collapsed="false">
      <c r="A87" s="6" t="str">
        <f aca="false">'WR LLB'!A6</f>
        <v>20252</v>
      </c>
      <c r="B87" s="6" t="str">
        <f aca="false">'WR LLB'!B6</f>
        <v>042B-103 (A)</v>
      </c>
      <c r="C87" s="6" t="str">
        <f aca="false">'WR LLB'!C6</f>
        <v>Öffentliches Wirtschaftsrecht &amp; Europarecht</v>
      </c>
      <c r="D87" s="7" t="str">
        <f aca="false">'WR LLB'!D6</f>
        <v>932-2104+932-2204</v>
      </c>
      <c r="E87" s="6" t="n">
        <f aca="false">'WR LLB'!E6</f>
        <v>27</v>
      </c>
      <c r="F87" s="6" t="n">
        <f aca="false">'WR LLB'!F6</f>
        <v>0</v>
      </c>
      <c r="G87" s="6" t="str">
        <f aca="false">'WR LLB'!G6</f>
        <v>1-Do</v>
      </c>
      <c r="H87" s="8" t="n">
        <f aca="false">'WR LLB'!H6</f>
        <v>46044</v>
      </c>
      <c r="I87" s="6" t="str">
        <f aca="false">'WR LLB'!I6</f>
        <v>09:30 - 11:30</v>
      </c>
      <c r="J87" s="6" t="str">
        <f aca="false">'WR LLB'!J6</f>
        <v>Aula</v>
      </c>
      <c r="K87" s="6" t="str">
        <f aca="false">'WR LLB'!K6</f>
        <v>Weber, Martin, Herr Prof. Dr. (Prof) - 6.000 SWS</v>
      </c>
      <c r="L87" s="1" t="n">
        <f aca="false">'WR LLB'!L8</f>
        <v>0</v>
      </c>
      <c r="M87" s="1" t="n">
        <f aca="false">'WR LLB'!M8</f>
        <v>0</v>
      </c>
    </row>
    <row r="88" customFormat="false" ht="14.15" hidden="false" customHeight="false" outlineLevel="0" collapsed="false">
      <c r="A88" s="6" t="str">
        <f aca="false">'WR LLB'!A7</f>
        <v>20252</v>
      </c>
      <c r="B88" s="6" t="str">
        <f aca="false">'WR LLB'!B7</f>
        <v>042B-103 (B)</v>
      </c>
      <c r="C88" s="6" t="str">
        <f aca="false">'WR LLB'!C7</f>
        <v>Öffentliches Wirtschaftsrecht &amp; Europarecht</v>
      </c>
      <c r="D88" s="7" t="n">
        <f aca="false">'WR LLB'!D7</f>
        <v>0</v>
      </c>
      <c r="E88" s="6" t="n">
        <f aca="false">'WR LLB'!E7</f>
        <v>20</v>
      </c>
      <c r="F88" s="6" t="n">
        <f aca="false">'WR LLB'!F7</f>
        <v>0</v>
      </c>
      <c r="G88" s="6" t="str">
        <f aca="false">'WR LLB'!G7</f>
        <v>1-Do</v>
      </c>
      <c r="H88" s="8" t="n">
        <f aca="false">'WR LLB'!H7</f>
        <v>46044</v>
      </c>
      <c r="I88" s="6" t="str">
        <f aca="false">'WR LLB'!I7</f>
        <v>09:30 - 11:30</v>
      </c>
      <c r="J88" s="6" t="str">
        <f aca="false">'WR LLB'!J7</f>
        <v>Aula</v>
      </c>
      <c r="K88" s="6" t="str">
        <f aca="false">'WR LLB'!K7</f>
        <v>Weber, Martin, Herr Prof. Dr. (Prof) - 6.000 SWS</v>
      </c>
      <c r="L88" s="1" t="n">
        <f aca="false">'WR LLB'!L9</f>
        <v>0</v>
      </c>
      <c r="M88" s="1" t="n">
        <f aca="false">'WR LLB'!M9</f>
        <v>0</v>
      </c>
    </row>
    <row r="89" customFormat="false" ht="26.85" hidden="false" customHeight="false" outlineLevel="0" collapsed="false">
      <c r="A89" s="6" t="str">
        <f aca="false">'WR LLB'!A29</f>
        <v>20252</v>
      </c>
      <c r="B89" s="6" t="str">
        <f aca="false">'WR LLB'!B29</f>
        <v>932-2204</v>
      </c>
      <c r="C89" s="6" t="str">
        <f aca="false">'WR LLB'!C29</f>
        <v>Europarecht</v>
      </c>
      <c r="D89" s="7" t="str">
        <f aca="false">'WR LLB'!D29</f>
        <v>042B-103-P</v>
      </c>
      <c r="E89" s="6" t="n">
        <f aca="false">'WR LLB'!E29</f>
        <v>38</v>
      </c>
      <c r="F89" s="28" t="n">
        <f aca="false">'WR LLB'!F29</f>
        <v>0.1</v>
      </c>
      <c r="G89" s="6" t="str">
        <f aca="false">'WR LLB'!G29</f>
        <v>1-Do</v>
      </c>
      <c r="H89" s="8" t="n">
        <f aca="false">'WR LLB'!H29</f>
        <v>46044</v>
      </c>
      <c r="I89" s="6" t="str">
        <f aca="false">'WR LLB'!I29</f>
        <v>09:30 - 11:30</v>
      </c>
      <c r="J89" s="6" t="str">
        <f aca="false">'WR LLB'!J29</f>
        <v>Aula, d0.03</v>
      </c>
      <c r="K89" s="9" t="str">
        <f aca="false">'WR LLB'!K29</f>
        <v>Weber, Martin, Herr Prof. Dr. (Prof) - 3.250 SWS;Merschmöller, Lucas, Herr (LBA) - 0.750 SWS</v>
      </c>
      <c r="L89" s="1" t="n">
        <f aca="false">'WR LLB'!L10</f>
        <v>0</v>
      </c>
      <c r="M89" s="1" t="n">
        <f aca="false">'WR LLB'!M10</f>
        <v>0</v>
      </c>
    </row>
    <row r="90" customFormat="false" ht="14.15" hidden="false" customHeight="false" outlineLevel="0" collapsed="false">
      <c r="A90" s="6" t="str">
        <f aca="false">'WR LLB'!A47</f>
        <v>20252</v>
      </c>
      <c r="B90" s="6" t="str">
        <f aca="false">'WR LLB'!B47</f>
        <v>932-2401</v>
      </c>
      <c r="C90" s="6" t="str">
        <f aca="false">'WR LLB'!C47</f>
        <v>Arbeitsrecht</v>
      </c>
      <c r="D90" s="7" t="str">
        <f aca="false">'WR LLB'!D47</f>
        <v>1404, 042B-304-P</v>
      </c>
      <c r="E90" s="6" t="n">
        <f aca="false">'WR LLB'!E47</f>
        <v>15</v>
      </c>
      <c r="F90" s="28" t="n">
        <f aca="false">'WR LLB'!F47</f>
        <v>0.5</v>
      </c>
      <c r="G90" s="6" t="str">
        <f aca="false">'WR LLB'!G47</f>
        <v>1-Do</v>
      </c>
      <c r="H90" s="8" t="n">
        <f aca="false">'WR LLB'!H47</f>
        <v>46044</v>
      </c>
      <c r="I90" s="6" t="str">
        <f aca="false">'WR LLB'!I47</f>
        <v>18:15 - 20:15</v>
      </c>
      <c r="J90" s="6" t="str">
        <f aca="false">'WR LLB'!J47</f>
        <v>A3.10, A0.12</v>
      </c>
      <c r="K90" s="9" t="str">
        <f aca="false">'WR LLB'!K47</f>
        <v>Walser, Manfred, Herr Prof. Dr. (Prof) - 6.000 SWS</v>
      </c>
      <c r="L90" s="1" t="n">
        <f aca="false">'WR LLB'!L11</f>
        <v>0</v>
      </c>
      <c r="M90" s="1" t="n">
        <f aca="false">'WR LLB'!M11</f>
        <v>0</v>
      </c>
    </row>
    <row r="91" customFormat="false" ht="26.85" hidden="false" customHeight="false" outlineLevel="0" collapsed="false">
      <c r="A91" s="6" t="str">
        <f aca="false">'AI VZ u. AIOED BSc dual'!A24</f>
        <v>w</v>
      </c>
      <c r="B91" s="6" t="str">
        <f aca="false">'AI VZ u. AIOED BSc dual'!B24</f>
        <v>938/D04-2206 (A)</v>
      </c>
      <c r="C91" s="6" t="str">
        <f aca="false">'AI VZ u. AIOED BSc dual'!C24</f>
        <v>IT Recht</v>
      </c>
      <c r="D91" s="6" t="n">
        <f aca="false">'AI VZ u. AIOED BSc dual'!D24</f>
        <v>1206</v>
      </c>
      <c r="E91" s="6" t="n">
        <f aca="false">'AI VZ u. AIOED BSc dual'!E24</f>
        <v>18</v>
      </c>
      <c r="F91" s="6" t="n">
        <f aca="false">'AI VZ u. AIOED BSc dual'!F24</f>
        <v>0</v>
      </c>
      <c r="G91" s="6" t="str">
        <f aca="false">'AI VZ u. AIOED BSc dual'!G24</f>
        <v>1-Do</v>
      </c>
      <c r="H91" s="8" t="n">
        <f aca="false">'AI VZ u. AIOED BSc dual'!H24</f>
        <v>46044</v>
      </c>
      <c r="I91" s="6" t="str">
        <f aca="false">'AI VZ u. AIOED BSc dual'!I24</f>
        <v>09:30 - 11:00</v>
      </c>
      <c r="J91" s="6" t="str">
        <f aca="false">'AI VZ u. AIOED BSc dual'!J24</f>
        <v>a3.08</v>
      </c>
      <c r="K91" s="9" t="str">
        <f aca="false">'AI VZ u. AIOED BSc dual'!K24</f>
        <v>Baldus, Bianca, Frau Prof. Dr. (Prof) - 2.000 SWS;Stein, Julian, Herr (LBA) - 2.000 SWS</v>
      </c>
      <c r="L91" s="1" t="n">
        <f aca="false">'WR LLB'!L12</f>
        <v>0</v>
      </c>
      <c r="M91" s="1" t="n">
        <f aca="false">'WR LLB'!M12</f>
        <v>0</v>
      </c>
    </row>
    <row r="92" customFormat="false" ht="26.85" hidden="false" customHeight="false" outlineLevel="0" collapsed="false">
      <c r="A92" s="6" t="str">
        <f aca="false">'AI VZ u. AIOED BSc dual'!A25</f>
        <v>w</v>
      </c>
      <c r="B92" s="6" t="str">
        <f aca="false">'AI VZ u. AIOED BSc dual'!B25</f>
        <v>938/D04-2206 (B)</v>
      </c>
      <c r="C92" s="6" t="str">
        <f aca="false">'AI VZ u. AIOED BSc dual'!C25</f>
        <v>IT Recht</v>
      </c>
      <c r="D92" s="6" t="n">
        <f aca="false">'AI VZ u. AIOED BSc dual'!D25</f>
        <v>0</v>
      </c>
      <c r="E92" s="6" t="n">
        <f aca="false">'AI VZ u. AIOED BSc dual'!E25</f>
        <v>29</v>
      </c>
      <c r="F92" s="6" t="n">
        <f aca="false">'AI VZ u. AIOED BSc dual'!F25</f>
        <v>0</v>
      </c>
      <c r="G92" s="6" t="str">
        <f aca="false">'AI VZ u. AIOED BSc dual'!G25</f>
        <v>1-Do</v>
      </c>
      <c r="H92" s="8" t="n">
        <f aca="false">'AI VZ u. AIOED BSc dual'!H25</f>
        <v>46044</v>
      </c>
      <c r="I92" s="6" t="str">
        <f aca="false">'AI VZ u. AIOED BSc dual'!I25</f>
        <v>09:30 - 11:00</v>
      </c>
      <c r="J92" s="6" t="str">
        <f aca="false">'AI VZ u. AIOED BSc dual'!J25</f>
        <v>a3.10</v>
      </c>
      <c r="K92" s="9" t="str">
        <f aca="false">'AI VZ u. AIOED BSc dual'!K25</f>
        <v>Stein, Julian, Herr (LBA) - 2.000 SWS;Baldus, Bianca, Frau Prof. Dr. (Prof) - 2.000 SWS</v>
      </c>
      <c r="L92" s="1" t="n">
        <f aca="false">'WR LLB'!L13</f>
        <v>0</v>
      </c>
      <c r="M92" s="1" t="n">
        <f aca="false">'WR LLB'!M13</f>
        <v>0</v>
      </c>
    </row>
    <row r="93" customFormat="false" ht="14.15" hidden="false" customHeight="false" outlineLevel="0" collapsed="false">
      <c r="A93" s="6" t="str">
        <f aca="false">'DIM VZ u. dual BSc'!A12</f>
        <v>w</v>
      </c>
      <c r="B93" s="6" t="str">
        <f aca="false">'DIM VZ u. dual BSc'!B12</f>
        <v>D01/D08-2205</v>
      </c>
      <c r="C93" s="6" t="str">
        <f aca="false">'DIM VZ u. dual BSc'!C12</f>
        <v>Englisch</v>
      </c>
      <c r="D93" s="6" t="n">
        <f aca="false">'DIM VZ u. dual BSc'!D12</f>
        <v>0</v>
      </c>
      <c r="E93" s="6" t="n">
        <f aca="false">'DIM VZ u. dual BSc'!E12</f>
        <v>5</v>
      </c>
      <c r="F93" s="6" t="n">
        <f aca="false">'DIM VZ u. dual BSc'!F12</f>
        <v>0</v>
      </c>
      <c r="G93" s="6" t="str">
        <f aca="false">'DIM VZ u. dual BSc'!G12</f>
        <v>1-Do</v>
      </c>
      <c r="H93" s="8" t="n">
        <f aca="false">'DIM VZ u. dual BSc'!H12</f>
        <v>46044</v>
      </c>
      <c r="I93" s="6" t="str">
        <f aca="false">'DIM VZ u. dual BSc'!I12</f>
        <v>08:15 - 09:45</v>
      </c>
      <c r="J93" s="6" t="str">
        <f aca="false">'DIM VZ u. dual BSc'!J12</f>
        <v>a3.04</v>
      </c>
      <c r="K93" s="9" t="str">
        <f aca="false">'DIM VZ u. dual BSc'!K12</f>
        <v>Thompson, Liam, Herr (LKfbA) - 4.000 SWS</v>
      </c>
      <c r="L93" s="1" t="n">
        <f aca="false">'WR LLB'!L14</f>
        <v>0</v>
      </c>
      <c r="M93" s="1" t="n">
        <f aca="false">'WR LLB'!M14</f>
        <v>0</v>
      </c>
    </row>
    <row r="94" customFormat="false" ht="26.85" hidden="false" customHeight="false" outlineLevel="0" collapsed="false">
      <c r="A94" s="6" t="str">
        <f aca="false">Optionen!A14</f>
        <v>20251</v>
      </c>
      <c r="B94" s="6" t="str">
        <f aca="false">Optionen!B14</f>
        <v>000-11026</v>
      </c>
      <c r="C94" s="6" t="str">
        <f aca="false">Optionen!C14</f>
        <v>Controlling Essentials</v>
      </c>
      <c r="D94" s="7" t="str">
        <f aca="false">Optionen!D14</f>
        <v>000-22002 Operatives Controlling (w)</v>
      </c>
      <c r="E94" s="6" t="n">
        <f aca="false">Optionen!E14</f>
        <v>2</v>
      </c>
      <c r="F94" s="6" t="n">
        <f aca="false">Optionen!F14</f>
        <v>0</v>
      </c>
      <c r="G94" s="6" t="str">
        <f aca="false">Optionen!G14</f>
        <v>1-Do</v>
      </c>
      <c r="H94" s="8" t="n">
        <f aca="false">Optionen!H14</f>
        <v>46044</v>
      </c>
      <c r="I94" s="6" t="str">
        <f aca="false">Optionen!I14</f>
        <v>18:15 - 20:15</v>
      </c>
      <c r="J94" s="6" t="str">
        <f aca="false">Optionen!J14</f>
        <v>a3.04</v>
      </c>
      <c r="K94" s="9" t="str">
        <f aca="false">Optionen!K14</f>
        <v>Fischbach, Sven, Herr Prof. Dr. (Prof) - 2.500 SWS;Böhm, Oliver, Herr (LBA) - 1.500 SWS</v>
      </c>
      <c r="L94" s="1" t="n">
        <f aca="false">'WR LLB'!L15</f>
        <v>0</v>
      </c>
      <c r="M94" s="1" t="n">
        <f aca="false">'WR LLB'!M15</f>
        <v>0</v>
      </c>
    </row>
    <row r="95" customFormat="false" ht="39.55" hidden="false" customHeight="false" outlineLevel="0" collapsed="false">
      <c r="A95" s="6" t="str">
        <f aca="false">'WR LLM'!A10</f>
        <v>20252</v>
      </c>
      <c r="B95" s="6" t="str">
        <f aca="false">'WR LLM'!B10</f>
        <v>932-60202</v>
      </c>
      <c r="C95" s="9" t="str">
        <f aca="false">'WR LLM'!C10</f>
        <v>Arbeitsstrafrecht &amp; Compliance</v>
      </c>
      <c r="D95" s="6" t="n">
        <f aca="false">'WR LLM'!D10</f>
        <v>0</v>
      </c>
      <c r="E95" s="6" t="n">
        <f aca="false">'WR LLM'!E10</f>
        <v>20</v>
      </c>
      <c r="F95" s="6" t="str">
        <f aca="false">'WR LLM'!F10</f>
        <v>30 Minuten</v>
      </c>
      <c r="G95" s="6" t="str">
        <f aca="false">'WR LLM'!G10</f>
        <v>1-Do</v>
      </c>
      <c r="H95" s="8" t="n">
        <f aca="false">'WR LLM'!H10</f>
        <v>46044</v>
      </c>
      <c r="I95" s="6" t="str">
        <f aca="false">'WR LLM'!I10</f>
        <v>09:30 - 11:30</v>
      </c>
      <c r="J95" s="6" t="str">
        <f aca="false">'WR LLM'!J10</f>
        <v>c3.10</v>
      </c>
      <c r="K95" s="9" t="str">
        <f aca="false">'WR LLM'!K10</f>
        <v>Baldus, Bianca, Frau Prof. Dr. (Prof) - 1.000 SWS;Scheffczyk, Tommy, Herr (LBA) - 1.000 SWS;Nerenberg, Colin, Herr (LKfbA) - 1.000 SWS;Döscher, Marie-Christine, Frau (LBA) - 1.000 SWS</v>
      </c>
      <c r="L95" s="1" t="n">
        <f aca="false">'WR LLB'!L18</f>
        <v>0</v>
      </c>
      <c r="M95" s="1" t="n">
        <f aca="false">'WR LLB'!M18</f>
        <v>0</v>
      </c>
    </row>
    <row r="96" customFormat="false" ht="26.85" hidden="false" customHeight="false" outlineLevel="0" collapsed="false">
      <c r="A96" s="6" t="str">
        <f aca="false">'BA MSc'!A22</f>
        <v>20252</v>
      </c>
      <c r="B96" s="6" t="str">
        <f aca="false">'BA MSc'!B22</f>
        <v>A23-70353</v>
      </c>
      <c r="C96" s="9" t="str">
        <f aca="false">'BA MSc'!C22</f>
        <v>Strategic Management</v>
      </c>
      <c r="D96" s="7" t="str">
        <f aca="false">'BA MSc'!D22</f>
        <v>60353, 52301</v>
      </c>
      <c r="E96" s="6" t="n">
        <f aca="false">'BA MSc'!E22</f>
        <v>21</v>
      </c>
      <c r="F96" s="6" t="n">
        <f aca="false">'BA MSc'!F22</f>
        <v>0</v>
      </c>
      <c r="G96" s="6" t="str">
        <f aca="false">'BA MSc'!G22</f>
        <v>1-Do</v>
      </c>
      <c r="H96" s="8" t="n">
        <f aca="false">'BA MSc'!H22</f>
        <v>46044</v>
      </c>
      <c r="I96" s="6" t="str">
        <f aca="false">'BA MSc'!I22</f>
        <v>09:30 - 11:30</v>
      </c>
      <c r="J96" s="6" t="str">
        <f aca="false">'BA MSc'!J22</f>
        <v>d1.08/d1.10</v>
      </c>
      <c r="K96" s="9" t="str">
        <f aca="false">'BA MSc'!K22</f>
        <v>Rosinus, Anna, Frau Prof. Dr. (Prof) - 3.000 SWS;Offermanns, Christopher, Herr (LBA) - 1.000 SWS</v>
      </c>
      <c r="L96" s="1" t="n">
        <f aca="false">'WR LLB'!L20</f>
        <v>0</v>
      </c>
      <c r="M96" s="1" t="n">
        <f aca="false">'WR LLB'!M20</f>
        <v>0</v>
      </c>
    </row>
    <row r="97" customFormat="false" ht="26.85" hidden="false" customHeight="false" outlineLevel="0" collapsed="false">
      <c r="A97" s="6" t="str">
        <f aca="false">Optionen!A25</f>
        <v>20252</v>
      </c>
      <c r="B97" s="6" t="str">
        <f aca="false">Optionen!B25</f>
        <v>000-15023</v>
      </c>
      <c r="C97" s="9" t="str">
        <f aca="false">Optionen!C25</f>
        <v>Game Development (Gruppenpräsentationen)</v>
      </c>
      <c r="D97" s="6" t="n">
        <f aca="false">Optionen!D25</f>
        <v>0</v>
      </c>
      <c r="E97" s="6" t="n">
        <f aca="false">Optionen!E25</f>
        <v>0</v>
      </c>
      <c r="F97" s="6" t="n">
        <f aca="false">Optionen!F25</f>
        <v>0</v>
      </c>
      <c r="G97" s="6" t="str">
        <f aca="false">Optionen!G25</f>
        <v>1-Do</v>
      </c>
      <c r="H97" s="8" t="n">
        <f aca="false">Optionen!H25</f>
        <v>46044</v>
      </c>
      <c r="I97" s="6" t="str">
        <f aca="false">Optionen!I25</f>
        <v>15:00 – 19:00</v>
      </c>
      <c r="J97" s="6" t="str">
        <f aca="false">Optionen!J25</f>
        <v>a3.08</v>
      </c>
      <c r="K97" s="9" t="str">
        <f aca="false">Optionen!K25</f>
        <v>Metz, Tom-Niklas, Herr (LBA) - 2.000 SWS;Täffner, Marcel, Herr (LBA) - 2.000 SWS</v>
      </c>
      <c r="L97" s="1" t="n">
        <f aca="false">'WR LLB'!L22</f>
        <v>0</v>
      </c>
      <c r="M97" s="1" t="n">
        <f aca="false">'WR LLB'!M22</f>
        <v>0</v>
      </c>
    </row>
    <row r="98" customFormat="false" ht="14.15" hidden="false" customHeight="false" outlineLevel="0" collapsed="false">
      <c r="A98" s="6" t="str">
        <f aca="false">'BWL BSc u. BWL ÖD BSc'!A13</f>
        <v>20252</v>
      </c>
      <c r="B98" s="6" t="str">
        <f aca="false">'BWL BSc u. BWL ÖD BSc'!B13</f>
        <v>021/D43-3104 (A )</v>
      </c>
      <c r="C98" s="6" t="str">
        <f aca="false">'BWL BSc u. BWL ÖD BSc'!C13</f>
        <v>Recht I: Grundlagen des Vertragsrechts</v>
      </c>
      <c r="D98" s="7" t="n">
        <f aca="false">'BWL BSc u. BWL ÖD BSc'!D13</f>
        <v>2104</v>
      </c>
      <c r="E98" s="6" t="n">
        <f aca="false">'BWL BSc u. BWL ÖD BSc'!E13</f>
        <v>43</v>
      </c>
      <c r="F98" s="6" t="n">
        <f aca="false">'BWL BSc u. BWL ÖD BSc'!F13</f>
        <v>0</v>
      </c>
      <c r="G98" s="6" t="str">
        <f aca="false">'BWL BSc u. BWL ÖD BSc'!G13</f>
        <v>1-Fr</v>
      </c>
      <c r="H98" s="8" t="n">
        <f aca="false">'BWL BSc u. BWL ÖD BSc'!H13</f>
        <v>46045</v>
      </c>
      <c r="I98" s="6" t="str">
        <f aca="false">'BWL BSc u. BWL ÖD BSc'!I13</f>
        <v>11:45 - 13:15</v>
      </c>
      <c r="J98" s="6" t="str">
        <f aca="false">'BWL BSc u. BWL ÖD BSc'!J13</f>
        <v>Aula</v>
      </c>
      <c r="K98" s="9" t="str">
        <f aca="false">'BWL BSc u. BWL ÖD BSc'!K13</f>
        <v>Therre, Silas, Herr (LBA) - 4.000 SWS</v>
      </c>
    </row>
    <row r="99" customFormat="false" ht="26.85" hidden="false" customHeight="false" outlineLevel="0" collapsed="false">
      <c r="A99" s="6" t="str">
        <f aca="false">'BWL BSc u. BWL ÖD BSc'!A14</f>
        <v>20252</v>
      </c>
      <c r="B99" s="6" t="str">
        <f aca="false">'BWL BSc u. BWL ÖD BSc'!B14</f>
        <v>021-3104 (B)</v>
      </c>
      <c r="C99" s="6" t="str">
        <f aca="false">'BWL BSc u. BWL ÖD BSc'!C14</f>
        <v>Recht I: Grundlagen des Vertragsrechts</v>
      </c>
      <c r="D99" s="7" t="n">
        <f aca="false">'BWL BSc u. BWL ÖD BSc'!D14</f>
        <v>0</v>
      </c>
      <c r="E99" s="6" t="n">
        <f aca="false">'BWL BSc u. BWL ÖD BSc'!E14</f>
        <v>35</v>
      </c>
      <c r="F99" s="6" t="n">
        <f aca="false">'BWL BSc u. BWL ÖD BSc'!F14</f>
        <v>0</v>
      </c>
      <c r="G99" s="6" t="str">
        <f aca="false">'BWL BSc u. BWL ÖD BSc'!G14</f>
        <v>1-Fr</v>
      </c>
      <c r="H99" s="8" t="n">
        <f aca="false">'BWL BSc u. BWL ÖD BSc'!H14</f>
        <v>46045</v>
      </c>
      <c r="I99" s="6" t="str">
        <f aca="false">'BWL BSc u. BWL ÖD BSc'!I14</f>
        <v>11:45 - 13:15</v>
      </c>
      <c r="J99" s="6" t="str">
        <f aca="false">'BWL BSc u. BWL ÖD BSc'!J14</f>
        <v>Aula</v>
      </c>
      <c r="K99" s="9" t="str">
        <f aca="false">'BWL BSc u. BWL ÖD BSc'!K14</f>
        <v>Reitz, Markus, Herr Prof. Dr. (Prof) - 0.500 SWS;Talmon, Alexander, Herr (LBA) - 3.500 SWS</v>
      </c>
      <c r="L99" s="1" t="n">
        <f aca="false">'WR LLB'!L2</f>
        <v>0</v>
      </c>
      <c r="M99" s="1" t="n">
        <f aca="false">'WR LLB'!M2</f>
        <v>0</v>
      </c>
    </row>
    <row r="100" customFormat="false" ht="14.15" hidden="false" customHeight="false" outlineLevel="0" collapsed="false">
      <c r="A100" s="6" t="str">
        <f aca="false">'BWL BSc u. BWL ÖD BSc'!A15</f>
        <v>20252</v>
      </c>
      <c r="B100" s="6" t="str">
        <f aca="false">'BWL BSc u. BWL ÖD BSc'!B15</f>
        <v>021-3104 (C)</v>
      </c>
      <c r="C100" s="6" t="str">
        <f aca="false">'BWL BSc u. BWL ÖD BSc'!C15</f>
        <v>Recht I: Grundlagen des Vertragsrechts</v>
      </c>
      <c r="D100" s="7" t="n">
        <f aca="false">'BWL BSc u. BWL ÖD BSc'!D15</f>
        <v>0</v>
      </c>
      <c r="E100" s="6" t="n">
        <f aca="false">'BWL BSc u. BWL ÖD BSc'!E15</f>
        <v>42</v>
      </c>
      <c r="F100" s="6" t="n">
        <f aca="false">'BWL BSc u. BWL ÖD BSc'!F15</f>
        <v>0</v>
      </c>
      <c r="G100" s="6" t="str">
        <f aca="false">'BWL BSc u. BWL ÖD BSc'!G15</f>
        <v>1-Fr</v>
      </c>
      <c r="H100" s="8" t="n">
        <f aca="false">'BWL BSc u. BWL ÖD BSc'!H15</f>
        <v>46045</v>
      </c>
      <c r="I100" s="6" t="str">
        <f aca="false">'BWL BSc u. BWL ÖD BSc'!I15</f>
        <v>11:45 - 13:15</v>
      </c>
      <c r="J100" s="6" t="str">
        <f aca="false">'BWL BSc u. BWL ÖD BSc'!J15</f>
        <v>c3.04, c3.06</v>
      </c>
      <c r="K100" s="9" t="str">
        <f aca="false">'BWL BSc u. BWL ÖD BSc'!K15</f>
        <v>Reitz, Markus, Herr Prof. Dr. (Prof) - 4.000 SWS</v>
      </c>
      <c r="L100" s="1" t="n">
        <f aca="false">'WR LLB'!L3</f>
        <v>0</v>
      </c>
      <c r="M100" s="1" t="n">
        <f aca="false">'WR LLB'!M3</f>
        <v>0</v>
      </c>
    </row>
    <row r="101" customFormat="false" ht="14.15" hidden="false" customHeight="false" outlineLevel="0" collapsed="false">
      <c r="A101" s="6" t="str">
        <f aca="false">'BWL BSc u. BWL ÖD BSc'!A16</f>
        <v>20252</v>
      </c>
      <c r="B101" s="6" t="str">
        <f aca="false">'BWL BSc u. BWL ÖD BSc'!B16</f>
        <v>021-3104/PAN</v>
      </c>
      <c r="C101" s="6" t="str">
        <f aca="false">'BWL BSc u. BWL ÖD BSc'!C16</f>
        <v>Recht I: Grundlagen des Vertragsrechts (PAN)</v>
      </c>
      <c r="D101" s="7" t="n">
        <f aca="false">'BWL BSc u. BWL ÖD BSc'!D16</f>
        <v>0</v>
      </c>
      <c r="E101" s="6" t="n">
        <f aca="false">'BWL BSc u. BWL ÖD BSc'!E16</f>
        <v>35</v>
      </c>
      <c r="F101" s="6" t="n">
        <f aca="false">'BWL BSc u. BWL ÖD BSc'!F16</f>
        <v>0</v>
      </c>
      <c r="G101" s="6" t="str">
        <f aca="false">'BWL BSc u. BWL ÖD BSc'!G16</f>
        <v>1-Fr</v>
      </c>
      <c r="H101" s="8" t="n">
        <f aca="false">'BWL BSc u. BWL ÖD BSc'!H16</f>
        <v>46045</v>
      </c>
      <c r="I101" s="6" t="str">
        <f aca="false">'BWL BSc u. BWL ÖD BSc'!I16</f>
        <v>11:45 - 13:15</v>
      </c>
      <c r="J101" s="8" t="str">
        <f aca="false">'BWL BSc u. BWL ÖD BSc'!J16</f>
        <v>d0.01</v>
      </c>
      <c r="K101" s="9" t="str">
        <f aca="false">'BWL BSc u. BWL ÖD BSc'!K16</f>
        <v>Reitz, Markus, Herr Prof. Dr. (Prof) - 4.000 SWS</v>
      </c>
      <c r="L101" s="1" t="n">
        <f aca="false">'WR LLB'!L4</f>
        <v>0</v>
      </c>
      <c r="M101" s="1" t="n">
        <f aca="false">'WR LLB'!M4</f>
        <v>0</v>
      </c>
    </row>
    <row r="102" customFormat="false" ht="14.15" hidden="false" customHeight="false" outlineLevel="0" collapsed="false">
      <c r="A102" s="6" t="str">
        <f aca="false">'BWL BSc u. BWL ÖD BSc'!A56</f>
        <v>20252</v>
      </c>
      <c r="B102" s="6" t="str">
        <f aca="false">'BWL BSc u. BWL ÖD BSc'!B56</f>
        <v>021/D43-3354 (A)</v>
      </c>
      <c r="C102" s="6" t="str">
        <f aca="false">'BWL BSc u. BWL ÖD BSc'!C56</f>
        <v>Marketing </v>
      </c>
      <c r="D102" s="7" t="str">
        <f aca="false">'BWL BSc u. BWL ÖD BSc'!D56</f>
        <v>2354,1351, 1301</v>
      </c>
      <c r="E102" s="6" t="n">
        <f aca="false">'BWL BSc u. BWL ÖD BSc'!E56</f>
        <v>65</v>
      </c>
      <c r="F102" s="6" t="n">
        <f aca="false">'BWL BSc u. BWL ÖD BSc'!F56</f>
        <v>0</v>
      </c>
      <c r="G102" s="6" t="str">
        <f aca="false">'BWL BSc u. BWL ÖD BSc'!G56</f>
        <v>1-Fr</v>
      </c>
      <c r="H102" s="8" t="n">
        <f aca="false">'BWL BSc u. BWL ÖD BSc'!H56</f>
        <v>46045</v>
      </c>
      <c r="I102" s="6" t="str">
        <f aca="false">'BWL BSc u. BWL ÖD BSc'!I56</f>
        <v>07:45 - 09:15</v>
      </c>
      <c r="J102" s="6" t="str">
        <f aca="false">'BWL BSc u. BWL ÖD BSc'!J56</f>
        <v>c3.10, a3.10, a3.08</v>
      </c>
      <c r="K102" s="9" t="str">
        <f aca="false">'BWL BSc u. BWL ÖD BSc'!K56</f>
        <v>Hillebrandt, Isabelle, Frau Prof. Dr. (Prof) - 4.000 SWS</v>
      </c>
      <c r="L102" s="1" t="n">
        <f aca="false">'WR LLB'!L5</f>
        <v>0</v>
      </c>
      <c r="M102" s="1" t="n">
        <f aca="false">'WR LLB'!M5</f>
        <v>0</v>
      </c>
    </row>
    <row r="103" customFormat="false" ht="26.85" hidden="false" customHeight="false" outlineLevel="0" collapsed="false">
      <c r="A103" s="6" t="str">
        <f aca="false">'BWL BSc u. BWL ÖD BSc'!A57</f>
        <v>20252</v>
      </c>
      <c r="B103" s="6" t="str">
        <f aca="false">'BWL BSc u. BWL ÖD BSc'!B57</f>
        <v>021-3354 (B)</v>
      </c>
      <c r="C103" s="6" t="str">
        <f aca="false">'BWL BSc u. BWL ÖD BSc'!C57</f>
        <v>Marketing</v>
      </c>
      <c r="D103" s="6" t="n">
        <f aca="false">'BWL BSc u. BWL ÖD BSc'!D57</f>
        <v>0</v>
      </c>
      <c r="E103" s="6" t="n">
        <f aca="false">'BWL BSc u. BWL ÖD BSc'!E57</f>
        <v>46</v>
      </c>
      <c r="F103" s="28" t="str">
        <f aca="false">'BWL BSc u. BWL ÖD BSc'!F57</f>
        <v>50%, 10%</v>
      </c>
      <c r="G103" s="6" t="str">
        <f aca="false">'BWL BSc u. BWL ÖD BSc'!G57</f>
        <v>1-Fr</v>
      </c>
      <c r="H103" s="8" t="n">
        <f aca="false">'BWL BSc u. BWL ÖD BSc'!H57</f>
        <v>46045</v>
      </c>
      <c r="I103" s="6" t="str">
        <f aca="false">'BWL BSc u. BWL ÖD BSc'!I57</f>
        <v>07:45 - 09:15</v>
      </c>
      <c r="J103" s="6" t="str">
        <f aca="false">'BWL BSc u. BWL ÖD BSc'!J57</f>
        <v>c-1.11, c-1.13</v>
      </c>
      <c r="K103" s="9" t="str">
        <f aca="false">'BWL BSc u. BWL ÖD BSc'!K57</f>
        <v>Taheri, Jenny S., Frau (LBA) - 2.000 SWS;Weretecki, Patrick, Herr Dr. (LBA) - 2.000 SWS</v>
      </c>
      <c r="L103" s="1" t="n">
        <f aca="false">'WR LLB'!L6</f>
        <v>0</v>
      </c>
      <c r="M103" s="1" t="n">
        <f aca="false">'WR LLB'!M6</f>
        <v>0</v>
      </c>
    </row>
    <row r="104" customFormat="false" ht="14.15" hidden="false" customHeight="false" outlineLevel="0" collapsed="false">
      <c r="A104" s="6" t="str">
        <f aca="false">'BWL BSc u. BWL ÖD BSc'!A58</f>
        <v>20252</v>
      </c>
      <c r="B104" s="6" t="str">
        <f aca="false">'BWL BSc u. BWL ÖD BSc'!B58</f>
        <v>021-3354 (C)</v>
      </c>
      <c r="C104" s="6" t="str">
        <f aca="false">'BWL BSc u. BWL ÖD BSc'!C58</f>
        <v>Marketing </v>
      </c>
      <c r="D104" s="6" t="n">
        <f aca="false">'BWL BSc u. BWL ÖD BSc'!D58</f>
        <v>0</v>
      </c>
      <c r="E104" s="6" t="n">
        <f aca="false">'BWL BSc u. BWL ÖD BSc'!E58</f>
        <v>33</v>
      </c>
      <c r="F104" s="6" t="n">
        <f aca="false">'BWL BSc u. BWL ÖD BSc'!F58</f>
        <v>0</v>
      </c>
      <c r="G104" s="6" t="str">
        <f aca="false">'BWL BSc u. BWL ÖD BSc'!G58</f>
        <v>1-Fr</v>
      </c>
      <c r="H104" s="8" t="n">
        <f aca="false">'BWL BSc u. BWL ÖD BSc'!H58</f>
        <v>46045</v>
      </c>
      <c r="I104" s="6" t="str">
        <f aca="false">'BWL BSc u. BWL ÖD BSc'!I58</f>
        <v>09:30 - 11:00</v>
      </c>
      <c r="J104" s="6" t="str">
        <f aca="false">'BWL BSc u. BWL ÖD BSc'!J58</f>
        <v>d0.03</v>
      </c>
      <c r="K104" s="9" t="str">
        <f aca="false">'BWL BSc u. BWL ÖD BSc'!K58</f>
        <v>Hillebrandt, Isabelle, Frau Prof. Dr. (Prof) - 4.000 SWS</v>
      </c>
    </row>
    <row r="105" customFormat="false" ht="14.15" hidden="false" customHeight="false" outlineLevel="0" collapsed="false">
      <c r="A105" s="6" t="str">
        <f aca="false">'BWL BSc u. BWL ÖD BSc'!A65</f>
        <v>20252</v>
      </c>
      <c r="B105" s="6" t="str">
        <f aca="false">'BWL BSc u. BWL ÖD BSc'!B65</f>
        <v>021/D43-3402 (I)</v>
      </c>
      <c r="C105" s="6" t="str">
        <f aca="false">'BWL BSc u. BWL ÖD BSc'!C65</f>
        <v>Jahresabschluss</v>
      </c>
      <c r="D105" s="6" t="n">
        <f aca="false">'BWL BSc u. BWL ÖD BSc'!D65</f>
        <v>2402.1402</v>
      </c>
      <c r="E105" s="6" t="n">
        <f aca="false">'BWL BSc u. BWL ÖD BSc'!E65</f>
        <v>23</v>
      </c>
      <c r="F105" s="6" t="n">
        <f aca="false">'BWL BSc u. BWL ÖD BSc'!F65</f>
        <v>0</v>
      </c>
      <c r="G105" s="6" t="str">
        <f aca="false">'BWL BSc u. BWL ÖD BSc'!G65</f>
        <v>1-Fr</v>
      </c>
      <c r="H105" s="8" t="n">
        <f aca="false">'BWL BSc u. BWL ÖD BSc'!H65</f>
        <v>46045</v>
      </c>
      <c r="I105" s="6" t="str">
        <f aca="false">'BWL BSc u. BWL ÖD BSc'!I65</f>
        <v>16:00 - 17:30</v>
      </c>
      <c r="J105" s="6" t="str">
        <f aca="false">'BWL BSc u. BWL ÖD BSc'!J65</f>
        <v>Aula</v>
      </c>
      <c r="K105" s="9" t="str">
        <f aca="false">'BWL BSc u. BWL ÖD BSc'!K65</f>
        <v>Flick, Caroline, Frau Prof. Dr. (Prof) - 4.000 SWS</v>
      </c>
      <c r="L105" s="1" t="n">
        <f aca="false">'WR LLB'!L7</f>
        <v>0</v>
      </c>
      <c r="M105" s="1" t="n">
        <f aca="false">'WR LLB'!M7</f>
        <v>0</v>
      </c>
    </row>
    <row r="106" customFormat="false" ht="14.15" hidden="false" customHeight="false" outlineLevel="0" collapsed="false">
      <c r="A106" s="6" t="str">
        <f aca="false">'BWL BSc u. BWL ÖD BSc'!A66</f>
        <v>20252</v>
      </c>
      <c r="B106" s="6" t="str">
        <f aca="false">'BWL BSc u. BWL ÖD BSc'!B66</f>
        <v>021/D43-3402 (II)</v>
      </c>
      <c r="C106" s="6" t="str">
        <f aca="false">'BWL BSc u. BWL ÖD BSc'!C66</f>
        <v>Jahresabschluss</v>
      </c>
      <c r="D106" s="6" t="n">
        <f aca="false">'BWL BSc u. BWL ÖD BSc'!D66</f>
        <v>0</v>
      </c>
      <c r="E106" s="6" t="n">
        <f aca="false">'BWL BSc u. BWL ÖD BSc'!E66</f>
        <v>37</v>
      </c>
      <c r="F106" s="6" t="n">
        <f aca="false">'BWL BSc u. BWL ÖD BSc'!F66</f>
        <v>0</v>
      </c>
      <c r="G106" s="6" t="str">
        <f aca="false">'BWL BSc u. BWL ÖD BSc'!G66</f>
        <v>1-Fr</v>
      </c>
      <c r="H106" s="8" t="n">
        <f aca="false">'BWL BSc u. BWL ÖD BSc'!H66</f>
        <v>46045</v>
      </c>
      <c r="I106" s="6" t="str">
        <f aca="false">'BWL BSc u. BWL ÖD BSc'!I66</f>
        <v>16:00 - 17:30</v>
      </c>
      <c r="J106" s="6" t="str">
        <f aca="false">'BWL BSc u. BWL ÖD BSc'!J66</f>
        <v>Aula</v>
      </c>
      <c r="K106" s="9" t="str">
        <f aca="false">'BWL BSc u. BWL ÖD BSc'!K66</f>
        <v>Peppmeier, Arno, Herr Prof. Dr. (Prof) - 4.000 SWS</v>
      </c>
      <c r="L106" s="1" t="n">
        <f aca="false">'WR LLB'!L8</f>
        <v>0</v>
      </c>
      <c r="M106" s="1" t="n">
        <f aca="false">'WR LLB'!M8</f>
        <v>0</v>
      </c>
    </row>
    <row r="107" customFormat="false" ht="14.15" hidden="false" customHeight="false" outlineLevel="0" collapsed="false">
      <c r="A107" s="6" t="str">
        <f aca="false">'BWL BSc u. BWL ÖD BSc'!A67</f>
        <v>20252</v>
      </c>
      <c r="B107" s="6" t="str">
        <f aca="false">'BWL BSc u. BWL ÖD BSc'!B67</f>
        <v>021/D43-3402 (III)</v>
      </c>
      <c r="C107" s="6" t="str">
        <f aca="false">'BWL BSc u. BWL ÖD BSc'!C67</f>
        <v>Jahresabschluss</v>
      </c>
      <c r="D107" s="7" t="n">
        <f aca="false">'BWL BSc u. BWL ÖD BSc'!D67</f>
        <v>0</v>
      </c>
      <c r="E107" s="6" t="n">
        <f aca="false">'BWL BSc u. BWL ÖD BSc'!E67</f>
        <v>29</v>
      </c>
      <c r="F107" s="28" t="n">
        <f aca="false">'BWL BSc u. BWL ÖD BSc'!F67</f>
        <v>0.1</v>
      </c>
      <c r="G107" s="6" t="str">
        <f aca="false">'BWL BSc u. BWL ÖD BSc'!G67</f>
        <v>1-Fr</v>
      </c>
      <c r="H107" s="8" t="n">
        <f aca="false">'BWL BSc u. BWL ÖD BSc'!H67</f>
        <v>46045</v>
      </c>
      <c r="I107" s="6" t="str">
        <f aca="false">'BWL BSc u. BWL ÖD BSc'!I67</f>
        <v>16:00 - 17:30</v>
      </c>
      <c r="J107" s="6" t="str">
        <f aca="false">'BWL BSc u. BWL ÖD BSc'!J67</f>
        <v>Aua, A0.12</v>
      </c>
      <c r="K107" s="9" t="str">
        <f aca="false">'BWL BSc u. BWL ÖD BSc'!K67</f>
        <v>Dittmar, Peter, Herr Prof. Dr. (Prof) - 4.000 SWS</v>
      </c>
    </row>
    <row r="108" customFormat="false" ht="26.85" hidden="false" customHeight="false" outlineLevel="0" collapsed="false">
      <c r="A108" s="6" t="str">
        <f aca="false">'WR LLB'!A12</f>
        <v>20252</v>
      </c>
      <c r="B108" s="6" t="str">
        <f aca="false">'WR LLB'!B12</f>
        <v>932-2104/PAN</v>
      </c>
      <c r="C108" s="9" t="str">
        <f aca="false">'WR LLB'!C12</f>
        <v>Öffentliches Wirtschaftsrecht &amp; Wirtschaftsstrafrecht AT (PAN)</v>
      </c>
      <c r="D108" s="7" t="str">
        <f aca="false">'WR LLB'!D12</f>
        <v>042B-103</v>
      </c>
      <c r="E108" s="6" t="n">
        <f aca="false">'WR LLB'!E12</f>
        <v>37</v>
      </c>
      <c r="F108" s="6" t="n">
        <f aca="false">'WR LLB'!F12</f>
        <v>0</v>
      </c>
      <c r="G108" s="6" t="str">
        <f aca="false">'WR LLB'!G12</f>
        <v>1-Fr</v>
      </c>
      <c r="H108" s="8" t="n">
        <f aca="false">'WR LLB'!H12</f>
        <v>46045</v>
      </c>
      <c r="I108" s="6" t="str">
        <f aca="false">'WR LLB'!I12</f>
        <v>13:45 - 15:45</v>
      </c>
      <c r="J108" s="6" t="str">
        <f aca="false">'WR LLB'!J12</f>
        <v>c-1.11, c-1.13</v>
      </c>
      <c r="K108" s="9" t="str">
        <f aca="false">'WR LLB'!K12</f>
        <v>Weber, Martin, Herr Prof. Dr. (Prof); Hamed, Jessica, Frau Dr. (LBA) - 2.000 SWS</v>
      </c>
      <c r="L108" s="1" t="n">
        <f aca="false">'WR LLB'!L9</f>
        <v>0</v>
      </c>
      <c r="M108" s="1" t="n">
        <f aca="false">'WR LLB'!M9</f>
        <v>0</v>
      </c>
    </row>
    <row r="109" customFormat="false" ht="14.15" hidden="false" customHeight="false" outlineLevel="0" collapsed="false">
      <c r="A109" s="6" t="str">
        <f aca="false">'WR LLB'!A43</f>
        <v>20252</v>
      </c>
      <c r="B109" s="6" t="str">
        <f aca="false">'WR LLB'!B43</f>
        <v>932-2306 (A)</v>
      </c>
      <c r="C109" s="6" t="str">
        <f aca="false">'WR LLB'!C43</f>
        <v>Jahresabschluss</v>
      </c>
      <c r="D109" s="6" t="n">
        <f aca="false">'WR LLB'!D43</f>
        <v>0</v>
      </c>
      <c r="E109" s="6" t="n">
        <f aca="false">'WR LLB'!E43</f>
        <v>30</v>
      </c>
      <c r="F109" s="28" t="n">
        <f aca="false">'WR LLB'!F43</f>
        <v>0</v>
      </c>
      <c r="G109" s="6" t="str">
        <f aca="false">'WR LLB'!G43</f>
        <v>1-Fr</v>
      </c>
      <c r="H109" s="8" t="n">
        <f aca="false">'WR LLB'!H43</f>
        <v>46045</v>
      </c>
      <c r="I109" s="6" t="str">
        <f aca="false">'WR LLB'!I43</f>
        <v>09:30 - 11:00</v>
      </c>
      <c r="J109" s="6" t="str">
        <f aca="false">'WR LLB'!J43</f>
        <v>a3.10</v>
      </c>
      <c r="K109" s="9" t="str">
        <f aca="false">'WR LLB'!K43</f>
        <v>Schneider, Vincent, Herr (LBA) - 4.000 SWS</v>
      </c>
      <c r="L109" s="1" t="n">
        <f aca="false">'WR LLB'!L10</f>
        <v>0</v>
      </c>
      <c r="M109" s="1" t="n">
        <f aca="false">'WR LLB'!M10</f>
        <v>0</v>
      </c>
    </row>
    <row r="110" customFormat="false" ht="14.15" hidden="false" customHeight="false" outlineLevel="0" collapsed="false">
      <c r="A110" s="6" t="str">
        <f aca="false">'WR LLB'!A44</f>
        <v>20252</v>
      </c>
      <c r="B110" s="6" t="str">
        <f aca="false">'WR LLB'!B44</f>
        <v>932-2306 (B)</v>
      </c>
      <c r="C110" s="6" t="str">
        <f aca="false">'WR LLB'!C44</f>
        <v>Jahresabschluss</v>
      </c>
      <c r="D110" s="6" t="n">
        <f aca="false">'WR LLB'!D44</f>
        <v>0</v>
      </c>
      <c r="E110" s="6" t="n">
        <f aca="false">'WR LLB'!E44</f>
        <v>46</v>
      </c>
      <c r="F110" s="6" t="n">
        <f aca="false">'WR LLB'!F44</f>
        <v>0</v>
      </c>
      <c r="G110" s="6" t="str">
        <f aca="false">'WR LLB'!G44</f>
        <v>1-Fr</v>
      </c>
      <c r="H110" s="8" t="n">
        <f aca="false">'WR LLB'!H44</f>
        <v>46045</v>
      </c>
      <c r="I110" s="6" t="str">
        <f aca="false">'WR LLB'!I44</f>
        <v>09:30 - 11:00</v>
      </c>
      <c r="J110" s="6" t="str">
        <f aca="false">'WR LLB'!J44</f>
        <v>c3.04, c3.06, c3.08</v>
      </c>
      <c r="K110" s="9" t="str">
        <f aca="false">'WR LLB'!K44</f>
        <v>Peppmeier, Arno, Herr Prof. Dr. (Prof) - 4.000 SWS</v>
      </c>
      <c r="L110" s="1" t="n">
        <f aca="false">'WR LLB'!L11</f>
        <v>0</v>
      </c>
      <c r="M110" s="1" t="n">
        <f aca="false">'WR LLB'!M11</f>
        <v>0</v>
      </c>
    </row>
    <row r="111" customFormat="false" ht="14.15" hidden="false" customHeight="false" outlineLevel="0" collapsed="false">
      <c r="A111" s="6" t="str">
        <f aca="false">'WR LLB'!A65</f>
        <v>20252</v>
      </c>
      <c r="B111" s="6" t="str">
        <f aca="false">'WR LLB'!B65</f>
        <v>932-2602</v>
      </c>
      <c r="C111" s="6" t="str">
        <f aca="false">'WR LLB'!C65</f>
        <v>Rechtsdurchsetzung &amp; Insolvenzrecht</v>
      </c>
      <c r="D111" s="6" t="n">
        <f aca="false">'WR LLB'!D65</f>
        <v>1405</v>
      </c>
      <c r="E111" s="6" t="n">
        <f aca="false">'WR LLB'!E65</f>
        <v>28</v>
      </c>
      <c r="F111" s="6" t="n">
        <f aca="false">'WR LLB'!F65</f>
        <v>0</v>
      </c>
      <c r="G111" s="6" t="str">
        <f aca="false">'WR LLB'!G65</f>
        <v>1-Fr</v>
      </c>
      <c r="H111" s="8" t="n">
        <f aca="false">'WR LLB'!H65</f>
        <v>46045</v>
      </c>
      <c r="I111" s="6" t="str">
        <f aca="false">'WR LLB'!I65</f>
        <v>18:15 - 20:15</v>
      </c>
      <c r="J111" s="6" t="str">
        <f aca="false">'WR LLB'!J65</f>
        <v>a3.10</v>
      </c>
      <c r="K111" s="9" t="str">
        <f aca="false">'WR LLB'!K65</f>
        <v>Hancke, Johannes Konstantin, Herr Dr. (Prof) - 4.000 SWS</v>
      </c>
      <c r="L111" s="1" t="n">
        <f aca="false">'WR LLB'!L12</f>
        <v>0</v>
      </c>
      <c r="M111" s="1" t="n">
        <f aca="false">'WR LLB'!M12</f>
        <v>0</v>
      </c>
    </row>
    <row r="112" customFormat="false" ht="14.15" hidden="false" customHeight="false" outlineLevel="0" collapsed="false">
      <c r="A112" s="6" t="str">
        <f aca="false">'AI VZ u. AIOED BSc dual'!A8</f>
        <v>20252</v>
      </c>
      <c r="B112" s="6" t="str">
        <f aca="false">'AI VZ u. AIOED BSc dual'!B8</f>
        <v>938/D04-2105 (A)</v>
      </c>
      <c r="C112" s="6" t="str">
        <f aca="false">'AI VZ u. AIOED BSc dual'!C8</f>
        <v>Mathematik I</v>
      </c>
      <c r="D112" s="6" t="n">
        <f aca="false">'AI VZ u. AIOED BSc dual'!D8</f>
        <v>1105</v>
      </c>
      <c r="E112" s="6" t="n">
        <f aca="false">'AI VZ u. AIOED BSc dual'!E8</f>
        <v>40</v>
      </c>
      <c r="F112" s="6" t="n">
        <f aca="false">'AI VZ u. AIOED BSc dual'!F8</f>
        <v>0</v>
      </c>
      <c r="G112" s="6" t="str">
        <f aca="false">'AI VZ u. AIOED BSc dual'!G8</f>
        <v>1-Fr</v>
      </c>
      <c r="H112" s="8" t="n">
        <f aca="false">'AI VZ u. AIOED BSc dual'!H8</f>
        <v>46045</v>
      </c>
      <c r="I112" s="6" t="str">
        <f aca="false">'AI VZ u. AIOED BSc dual'!I8</f>
        <v>09:30 - 11:00</v>
      </c>
      <c r="J112" s="6" t="str">
        <f aca="false">'AI VZ u. AIOED BSc dual'!J8</f>
        <v>Aula</v>
      </c>
      <c r="K112" s="9" t="str">
        <f aca="false">'AI VZ u. AIOED BSc dual'!K8</f>
        <v>Nauroth, Markus, Herr Prof. Dr. (Prof) - 4.000 SWS</v>
      </c>
      <c r="L112" s="1" t="n">
        <f aca="false">'WR LLB'!L13</f>
        <v>0</v>
      </c>
      <c r="M112" s="1" t="n">
        <f aca="false">'WR LLB'!M13</f>
        <v>0</v>
      </c>
    </row>
    <row r="113" customFormat="false" ht="14.15" hidden="false" customHeight="false" outlineLevel="0" collapsed="false">
      <c r="A113" s="6" t="str">
        <f aca="false">'AI VZ u. AIOED BSc dual'!A9</f>
        <v>20252</v>
      </c>
      <c r="B113" s="6" t="str">
        <f aca="false">'AI VZ u. AIOED BSc dual'!B9</f>
        <v>938/D04-2105 (B)</v>
      </c>
      <c r="C113" s="6" t="str">
        <f aca="false">'AI VZ u. AIOED BSc dual'!C9</f>
        <v>Mathematik I</v>
      </c>
      <c r="D113" s="6" t="n">
        <f aca="false">'AI VZ u. AIOED BSc dual'!D9</f>
        <v>0</v>
      </c>
      <c r="E113" s="6" t="n">
        <f aca="false">'AI VZ u. AIOED BSc dual'!E9</f>
        <v>37</v>
      </c>
      <c r="F113" s="6" t="n">
        <f aca="false">'AI VZ u. AIOED BSc dual'!F9</f>
        <v>0</v>
      </c>
      <c r="G113" s="6" t="str">
        <f aca="false">'AI VZ u. AIOED BSc dual'!G9</f>
        <v>1-Fr</v>
      </c>
      <c r="H113" s="8" t="n">
        <f aca="false">'AI VZ u. AIOED BSc dual'!H9</f>
        <v>46045</v>
      </c>
      <c r="I113" s="6" t="str">
        <f aca="false">'AI VZ u. AIOED BSc dual'!I9</f>
        <v>09:30 - 11:00</v>
      </c>
      <c r="J113" s="6" t="str">
        <f aca="false">'AI VZ u. AIOED BSc dual'!J9</f>
        <v>Aula</v>
      </c>
      <c r="K113" s="9" t="str">
        <f aca="false">'AI VZ u. AIOED BSc dual'!K9</f>
        <v>Wettig, Jennifer, Frau (Ass) - 4.000 SWS</v>
      </c>
      <c r="L113" s="1" t="n">
        <f aca="false">'WR LLB'!L14</f>
        <v>0</v>
      </c>
      <c r="M113" s="1" t="n">
        <f aca="false">'WR LLB'!M14</f>
        <v>0</v>
      </c>
    </row>
    <row r="114" customFormat="false" ht="14.15" hidden="false" customHeight="false" outlineLevel="0" collapsed="false">
      <c r="A114" s="6" t="str">
        <f aca="false">'AI VZ u. AIOED BSc dual'!A18</f>
        <v>w</v>
      </c>
      <c r="B114" s="6" t="str">
        <f aca="false">'AI VZ u. AIOED BSc dual'!B18</f>
        <v>938/D04-2203 (A)</v>
      </c>
      <c r="C114" s="6" t="str">
        <f aca="false">'AI VZ u. AIOED BSc dual'!C18</f>
        <v>Datenbanken II</v>
      </c>
      <c r="D114" s="6" t="n">
        <f aca="false">'AI VZ u. AIOED BSc dual'!D18</f>
        <v>1203</v>
      </c>
      <c r="E114" s="6" t="n">
        <f aca="false">'AI VZ u. AIOED BSc dual'!E18</f>
        <v>4</v>
      </c>
      <c r="F114" s="6" t="n">
        <f aca="false">'AI VZ u. AIOED BSc dual'!F18</f>
        <v>0</v>
      </c>
      <c r="G114" s="6" t="str">
        <f aca="false">'AI VZ u. AIOED BSc dual'!G18</f>
        <v>1-Fr</v>
      </c>
      <c r="H114" s="8" t="n">
        <f aca="false">'AI VZ u. AIOED BSc dual'!H18</f>
        <v>46045</v>
      </c>
      <c r="I114" s="6" t="str">
        <f aca="false">'AI VZ u. AIOED BSc dual'!I18</f>
        <v>16:00 - 17:30</v>
      </c>
      <c r="J114" s="6" t="str">
        <f aca="false">'AI VZ u. AIOED BSc dual'!J18</f>
        <v>a3.06</v>
      </c>
      <c r="K114" s="9" t="str">
        <f aca="false">'AI VZ u. AIOED BSc dual'!K18</f>
        <v>Klauer, Thomas, Herr Prof. Dr. (Prof) - 4.000 SWS</v>
      </c>
      <c r="L114" s="1" t="n">
        <f aca="false">'WR LLB'!L15</f>
        <v>0</v>
      </c>
      <c r="M114" s="1" t="n">
        <f aca="false">'WR LLB'!M15</f>
        <v>0</v>
      </c>
    </row>
    <row r="115" customFormat="false" ht="14.15" hidden="false" customHeight="false" outlineLevel="0" collapsed="false">
      <c r="A115" s="6" t="str">
        <f aca="false">'AI VZ u. AIOED BSc dual'!A19</f>
        <v>w</v>
      </c>
      <c r="B115" s="6" t="str">
        <f aca="false">'AI VZ u. AIOED BSc dual'!B19</f>
        <v>938/D04-2203 (B)</v>
      </c>
      <c r="C115" s="6" t="str">
        <f aca="false">'AI VZ u. AIOED BSc dual'!C19</f>
        <v>Datenbanken II</v>
      </c>
      <c r="D115" s="6" t="n">
        <f aca="false">'AI VZ u. AIOED BSc dual'!D19</f>
        <v>0</v>
      </c>
      <c r="E115" s="6" t="n">
        <f aca="false">'AI VZ u. AIOED BSc dual'!E19</f>
        <v>8</v>
      </c>
      <c r="F115" s="6" t="n">
        <f aca="false">'AI VZ u. AIOED BSc dual'!F19</f>
        <v>0</v>
      </c>
      <c r="G115" s="6" t="str">
        <f aca="false">'AI VZ u. AIOED BSc dual'!G19</f>
        <v>1-Fr</v>
      </c>
      <c r="H115" s="8" t="n">
        <f aca="false">'AI VZ u. AIOED BSc dual'!H19</f>
        <v>46045</v>
      </c>
      <c r="I115" s="6" t="str">
        <f aca="false">'AI VZ u. AIOED BSc dual'!I19</f>
        <v>16:00 - 17:30</v>
      </c>
      <c r="J115" s="6" t="str">
        <f aca="false">'AI VZ u. AIOED BSc dual'!J19</f>
        <v>a3.06</v>
      </c>
      <c r="K115" s="9" t="str">
        <f aca="false">'AI VZ u. AIOED BSc dual'!K19</f>
        <v>Klauer, Thomas, Herr Prof. Dr. (Prof) - 4.000 SWS</v>
      </c>
      <c r="L115" s="1" t="n">
        <f aca="false">'WR LLB'!L18</f>
        <v>0</v>
      </c>
      <c r="M115" s="1" t="n">
        <f aca="false">'WR LLB'!M18</f>
        <v>0</v>
      </c>
    </row>
    <row r="116" customFormat="false" ht="26.85" hidden="false" customHeight="false" outlineLevel="0" collapsed="false">
      <c r="A116" s="6" t="str">
        <f aca="false">'AI VZ u. AIOED BSc dual'!A39</f>
        <v>w</v>
      </c>
      <c r="B116" s="6" t="str">
        <f aca="false">'AI VZ u. AIOED BSc dual'!B39</f>
        <v>938/D04-2402 (A)</v>
      </c>
      <c r="C116" s="6" t="str">
        <f aca="false">'AI VZ u. AIOED BSc dual'!C39</f>
        <v>Mobile Technologien</v>
      </c>
      <c r="D116" s="7" t="str">
        <f aca="false">'AI VZ u. AIOED BSc dual'!D39</f>
        <v>1402/ 1452</v>
      </c>
      <c r="E116" s="6" t="n">
        <f aca="false">'AI VZ u. AIOED BSc dual'!E39</f>
        <v>5</v>
      </c>
      <c r="F116" s="6" t="n">
        <f aca="false">'AI VZ u. AIOED BSc dual'!F39</f>
        <v>0</v>
      </c>
      <c r="G116" s="6" t="str">
        <f aca="false">'AI VZ u. AIOED BSc dual'!G39</f>
        <v>1-Fr</v>
      </c>
      <c r="H116" s="8" t="n">
        <f aca="false">'AI VZ u. AIOED BSc dual'!H39</f>
        <v>46045</v>
      </c>
      <c r="I116" s="6" t="str">
        <f aca="false">'AI VZ u. AIOED BSc dual'!I39</f>
        <v>11:45 - 13:15</v>
      </c>
      <c r="J116" s="6" t="str">
        <f aca="false">'AI VZ u. AIOED BSc dual'!J39</f>
        <v>a3.04</v>
      </c>
      <c r="K116" s="9" t="str">
        <f aca="false">'AI VZ u. AIOED BSc dual'!K39</f>
        <v>Rostek, Annika, Frau (LBA) - 2.000 SWS;Nauroth, Markus, Herr Prof. Dr. (Prof) - 2.000 SWS</v>
      </c>
      <c r="L116" s="1" t="n">
        <f aca="false">'WR LLB'!L20</f>
        <v>0</v>
      </c>
      <c r="M116" s="1" t="n">
        <f aca="false">'WR LLB'!M20</f>
        <v>0</v>
      </c>
    </row>
    <row r="117" customFormat="false" ht="26.85" hidden="false" customHeight="false" outlineLevel="0" collapsed="false">
      <c r="A117" s="6" t="str">
        <f aca="false">'AI VZ u. AIOED BSc dual'!A40</f>
        <v>w</v>
      </c>
      <c r="B117" s="6" t="str">
        <f aca="false">'AI VZ u. AIOED BSc dual'!B40</f>
        <v>938/D04-2402 (B)</v>
      </c>
      <c r="C117" s="6" t="str">
        <f aca="false">'AI VZ u. AIOED BSc dual'!C40</f>
        <v>Mobile Technologien</v>
      </c>
      <c r="D117" s="6" t="n">
        <f aca="false">'AI VZ u. AIOED BSc dual'!D40</f>
        <v>0</v>
      </c>
      <c r="E117" s="6" t="n">
        <f aca="false">'AI VZ u. AIOED BSc dual'!E40</f>
        <v>0</v>
      </c>
      <c r="F117" s="6" t="n">
        <f aca="false">'AI VZ u. AIOED BSc dual'!F40</f>
        <v>0</v>
      </c>
      <c r="G117" s="6" t="str">
        <f aca="false">'AI VZ u. AIOED BSc dual'!G40</f>
        <v>1-Fr</v>
      </c>
      <c r="H117" s="8" t="n">
        <f aca="false">'AI VZ u. AIOED BSc dual'!H40</f>
        <v>46045</v>
      </c>
      <c r="I117" s="6" t="str">
        <f aca="false">'AI VZ u. AIOED BSc dual'!I40</f>
        <v>11:45 - 13:15</v>
      </c>
      <c r="J117" s="44" t="n">
        <f aca="false">'AI VZ u. AIOED BSc dual'!J40</f>
        <v>0</v>
      </c>
      <c r="K117" s="9" t="str">
        <f aca="false">'AI VZ u. AIOED BSc dual'!K40</f>
        <v>Rostek, Annika, Frau (LBA) - 2.000 SWS;Nauroth, Markus, Herr Prof. Dr. (Prof) - 2.000 SWS</v>
      </c>
      <c r="L117" s="1" t="n">
        <f aca="false">'WR LLB'!L22</f>
        <v>0</v>
      </c>
      <c r="M117" s="1" t="n">
        <f aca="false">'WR LLB'!M22</f>
        <v>0</v>
      </c>
    </row>
    <row r="118" customFormat="false" ht="14.15" hidden="false" customHeight="false" outlineLevel="0" collapsed="false">
      <c r="A118" s="6" t="str">
        <f aca="false">'DIM VZ u. dual BSc'!A6</f>
        <v>20252</v>
      </c>
      <c r="B118" s="6" t="str">
        <f aca="false">'DIM VZ u. dual BSc'!B6</f>
        <v>D01/D08-2104</v>
      </c>
      <c r="C118" s="6" t="str">
        <f aca="false">'DIM VZ u. dual BSc'!C6</f>
        <v>Grundlagen Wirtschaftsinformatik</v>
      </c>
      <c r="D118" s="6" t="n">
        <f aca="false">'DIM VZ u. dual BSc'!D6</f>
        <v>0</v>
      </c>
      <c r="E118" s="6" t="n">
        <f aca="false">'DIM VZ u. dual BSc'!E6</f>
        <v>34</v>
      </c>
      <c r="F118" s="6" t="n">
        <f aca="false">'DIM VZ u. dual BSc'!F6</f>
        <v>0</v>
      </c>
      <c r="G118" s="6" t="str">
        <f aca="false">'DIM VZ u. dual BSc'!G6</f>
        <v>1-Fr</v>
      </c>
      <c r="H118" s="8" t="n">
        <f aca="false">'DIM VZ u. dual BSc'!H6</f>
        <v>46045</v>
      </c>
      <c r="I118" s="6" t="str">
        <f aca="false">'DIM VZ u. dual BSc'!I6</f>
        <v>13:45 - 15:15</v>
      </c>
      <c r="J118" s="6" t="str">
        <f aca="false">'DIM VZ u. dual BSc'!J6</f>
        <v>a3.10, a3.04</v>
      </c>
      <c r="K118" s="9" t="str">
        <f aca="false">'DIM VZ u. dual BSc'!K6</f>
        <v>Huschens, Martin, Herr Prof. Dr. (Prof) - 4.000 SWS</v>
      </c>
    </row>
    <row r="119" customFormat="false" ht="14.15" hidden="false" customHeight="false" outlineLevel="0" collapsed="false">
      <c r="A119" s="6" t="str">
        <f aca="false">'DIM VZ u. dual BSc'!A10</f>
        <v>w</v>
      </c>
      <c r="B119" s="6" t="str">
        <f aca="false">'DIM VZ u. dual BSc'!B10</f>
        <v>D01/D08-2203</v>
      </c>
      <c r="C119" s="6" t="str">
        <f aca="false">'DIM VZ u. dual BSc'!C10</f>
        <v>Marketing I (Grundlagen)</v>
      </c>
      <c r="D119" s="6" t="n">
        <f aca="false">'DIM VZ u. dual BSc'!D10</f>
        <v>0</v>
      </c>
      <c r="E119" s="6" t="n">
        <f aca="false">'DIM VZ u. dual BSc'!E10</f>
        <v>9</v>
      </c>
      <c r="F119" s="6" t="n">
        <f aca="false">'DIM VZ u. dual BSc'!F10</f>
        <v>0</v>
      </c>
      <c r="G119" s="6" t="str">
        <f aca="false">'DIM VZ u. dual BSc'!G10</f>
        <v>1-Fr</v>
      </c>
      <c r="H119" s="8" t="n">
        <f aca="false">'DIM VZ u. dual BSc'!H10</f>
        <v>46045</v>
      </c>
      <c r="I119" s="6" t="str">
        <f aca="false">'DIM VZ u. dual BSc'!I10</f>
        <v>07:45 - 09:15</v>
      </c>
      <c r="J119" s="6" t="str">
        <f aca="false">'DIM VZ u. dual BSc'!J10</f>
        <v>a3.04</v>
      </c>
      <c r="K119" s="9" t="str">
        <f aca="false">'DIM VZ u. dual BSc'!K10</f>
        <v>Kostyra, Daniel, Herr Prof. Dr. (LBA) - 4.000 SWS</v>
      </c>
      <c r="L119" s="1" t="n">
        <f aca="false">'WR LLB'!L24</f>
        <v>0</v>
      </c>
      <c r="M119" s="1" t="n">
        <f aca="false">'WR LLB'!M24</f>
        <v>0</v>
      </c>
    </row>
    <row r="120" customFormat="false" ht="14.15" hidden="false" customHeight="false" outlineLevel="0" collapsed="false">
      <c r="A120" s="6" t="str">
        <f aca="false">'DIM VZ u. dual BSc'!A19</f>
        <v>20252</v>
      </c>
      <c r="B120" s="6" t="str">
        <f aca="false">'DIM VZ u. dual BSc'!B19</f>
        <v>D01/D08-2305</v>
      </c>
      <c r="C120" s="6" t="str">
        <f aca="false">'DIM VZ u. dual BSc'!C19</f>
        <v>Medien- &amp; IT-Recht</v>
      </c>
      <c r="D120" s="6" t="n">
        <f aca="false">'DIM VZ u. dual BSc'!D19</f>
        <v>0</v>
      </c>
      <c r="E120" s="6" t="n">
        <f aca="false">'DIM VZ u. dual BSc'!E19</f>
        <v>33</v>
      </c>
      <c r="F120" s="6" t="n">
        <f aca="false">'DIM VZ u. dual BSc'!F19</f>
        <v>0</v>
      </c>
      <c r="G120" s="6" t="str">
        <f aca="false">'DIM VZ u. dual BSc'!G19</f>
        <v>1-Fr</v>
      </c>
      <c r="H120" s="8" t="n">
        <f aca="false">'DIM VZ u. dual BSc'!H19</f>
        <v>46045</v>
      </c>
      <c r="I120" s="6" t="str">
        <f aca="false">'DIM VZ u. dual BSc'!I19</f>
        <v>09:30 - 11:00</v>
      </c>
      <c r="J120" s="6" t="str">
        <f aca="false">'DIM VZ u. dual BSc'!J19</f>
        <v>d0.01</v>
      </c>
      <c r="K120" s="9" t="str">
        <f aca="false">'DIM VZ u. dual BSc'!K19</f>
        <v>Worm, Ulrich, Herr Dr. (LBA) - 4.000 SWS</v>
      </c>
      <c r="L120" s="1" t="n">
        <f aca="false">'WR LLB'!L25</f>
        <v>0</v>
      </c>
      <c r="M120" s="1" t="n">
        <f aca="false">'WR LLB'!M25</f>
        <v>0</v>
      </c>
    </row>
    <row r="121" customFormat="false" ht="14.15" hidden="false" customHeight="false" outlineLevel="0" collapsed="false">
      <c r="A121" s="6" t="str">
        <f aca="false">'DIM VZ u. dual BSc'!A29</f>
        <v>20252</v>
      </c>
      <c r="B121" s="6" t="str">
        <f aca="false">'DIM VZ u. dual BSc'!B29</f>
        <v>D01/D08-2502</v>
      </c>
      <c r="C121" s="6" t="str">
        <f aca="false">'DIM VZ u. dual BSc'!C29</f>
        <v>Data Science II (Data Analytics)</v>
      </c>
      <c r="D121" s="6" t="n">
        <f aca="false">'DIM VZ u. dual BSc'!D29</f>
        <v>0</v>
      </c>
      <c r="E121" s="6" t="n">
        <f aca="false">'DIM VZ u. dual BSc'!E29</f>
        <v>38</v>
      </c>
      <c r="F121" s="6" t="n">
        <f aca="false">'DIM VZ u. dual BSc'!F29</f>
        <v>0</v>
      </c>
      <c r="G121" s="6" t="str">
        <f aca="false">'DIM VZ u. dual BSc'!G29</f>
        <v>1-Fr</v>
      </c>
      <c r="H121" s="8" t="n">
        <f aca="false">'DIM VZ u. dual BSc'!H29</f>
        <v>46045</v>
      </c>
      <c r="I121" s="6" t="str">
        <f aca="false">'DIM VZ u. dual BSc'!I29</f>
        <v>13:45 - 15:15</v>
      </c>
      <c r="J121" s="6" t="str">
        <f aca="false">'DIM VZ u. dual BSc'!J29</f>
        <v>d0.01</v>
      </c>
      <c r="K121" s="9" t="str">
        <f aca="false">'DIM VZ u. dual BSc'!K29</f>
        <v>Kowalczyk, Martin, Herr Prof. Dr. (Prof) - 4.000 SWS</v>
      </c>
      <c r="L121" s="1" t="n">
        <f aca="false">'WR LLB'!L26</f>
        <v>0</v>
      </c>
      <c r="M121" s="1" t="n">
        <f aca="false">'WR LLB'!M26</f>
        <v>0</v>
      </c>
    </row>
    <row r="122" customFormat="false" ht="14.15" hidden="false" customHeight="false" outlineLevel="0" collapsed="false">
      <c r="A122" s="6" t="str">
        <f aca="false">'CSM BSc'!A5</f>
        <v>20252</v>
      </c>
      <c r="B122" s="6" t="str">
        <f aca="false">'CSM BSc'!B5</f>
        <v>F25B-104</v>
      </c>
      <c r="C122" s="6" t="str">
        <f aca="false">'CSM BSc'!C5</f>
        <v>Mathematik</v>
      </c>
      <c r="D122" s="6" t="n">
        <f aca="false">'CSM BSc'!D5</f>
        <v>0</v>
      </c>
      <c r="E122" s="6" t="n">
        <f aca="false">'CSM BSc'!E5</f>
        <v>27</v>
      </c>
      <c r="F122" s="6" t="n">
        <f aca="false">'CSM BSc'!F5</f>
        <v>0</v>
      </c>
      <c r="G122" s="6" t="str">
        <f aca="false">'CSM BSc'!G5</f>
        <v>1-Fr</v>
      </c>
      <c r="H122" s="8" t="n">
        <f aca="false">'CSM BSc'!H5</f>
        <v>46045</v>
      </c>
      <c r="I122" s="6" t="str">
        <f aca="false">'CSM BSc'!I5</f>
        <v>09:30 - 11:00</v>
      </c>
      <c r="J122" s="6" t="str">
        <f aca="false">'CSM BSc'!J5</f>
        <v>c3.10</v>
      </c>
      <c r="K122" s="9" t="str">
        <f aca="false">'CSM BSc'!K5</f>
        <v>Schlütter, Sebastian, Herr Prof. Dr. (Prof) - 4.000 SWS</v>
      </c>
      <c r="L122" s="1" t="n">
        <f aca="false">'WR LLB'!L27</f>
        <v>0</v>
      </c>
      <c r="M122" s="1" t="n">
        <f aca="false">'WR LLB'!M27</f>
        <v>0</v>
      </c>
    </row>
    <row r="123" customFormat="false" ht="26.85" hidden="false" customHeight="false" outlineLevel="0" collapsed="false">
      <c r="A123" s="6" t="str">
        <f aca="false">Optionen!A43</f>
        <v>20252</v>
      </c>
      <c r="B123" s="6" t="str">
        <f aca="false">Optionen!B43</f>
        <v>000-25041</v>
      </c>
      <c r="C123" s="9" t="str">
        <f aca="false">Optionen!C43</f>
        <v>Sozial- und Gesundheitswirtschaft (Präsenz)</v>
      </c>
      <c r="D123" s="6" t="n">
        <f aca="false">Optionen!D43</f>
        <v>0</v>
      </c>
      <c r="E123" s="6" t="n">
        <f aca="false">Optionen!E43</f>
        <v>19</v>
      </c>
      <c r="F123" s="6" t="n">
        <f aca="false">Optionen!F43</f>
        <v>0</v>
      </c>
      <c r="G123" s="6" t="str">
        <f aca="false">Optionen!G43</f>
        <v>1-Fr</v>
      </c>
      <c r="H123" s="8" t="n">
        <f aca="false">Optionen!H43</f>
        <v>46045</v>
      </c>
      <c r="I123" s="6" t="str">
        <f aca="false">Optionen!I43</f>
        <v>18:15 - 20:15</v>
      </c>
      <c r="J123" s="6" t="str">
        <f aca="false">Optionen!J43</f>
        <v>c3.10</v>
      </c>
      <c r="K123" s="9" t="str">
        <f aca="false">Optionen!K43</f>
        <v>Schmeck, Steffi, Frau (Bed) - 1.000 SWS;Reiss, Hans-Christoph, Herr Prof. Dr. (Prof) - 3.000 SWS</v>
      </c>
      <c r="L123" s="1" t="n">
        <f aca="false">'WR LLB'!L28</f>
        <v>0</v>
      </c>
      <c r="M123" s="1" t="n">
        <f aca="false">'WR LLB'!M28</f>
        <v>0</v>
      </c>
    </row>
    <row r="124" customFormat="false" ht="26.85" hidden="false" customHeight="false" outlineLevel="0" collapsed="false">
      <c r="A124" s="6" t="str">
        <f aca="false">Optionen!A44</f>
        <v>20252</v>
      </c>
      <c r="B124" s="6" t="str">
        <f aca="false">Optionen!B44</f>
        <v>000-25041</v>
      </c>
      <c r="C124" s="9" t="str">
        <f aca="false">Optionen!C44</f>
        <v>Sozial- und Gesundheitswirtschaft (mündliche Prüfung online)</v>
      </c>
      <c r="D124" s="6" t="n">
        <f aca="false">Optionen!D44</f>
        <v>0</v>
      </c>
      <c r="E124" s="6" t="n">
        <f aca="false">Optionen!E44</f>
        <v>11</v>
      </c>
      <c r="F124" s="6" t="n">
        <f aca="false">Optionen!F44</f>
        <v>0</v>
      </c>
      <c r="G124" s="6" t="str">
        <f aca="false">Optionen!G44</f>
        <v>1-Fr</v>
      </c>
      <c r="H124" s="8" t="n">
        <f aca="false">Optionen!H44</f>
        <v>46045</v>
      </c>
      <c r="I124" s="6" t="str">
        <f aca="false">Optionen!I44</f>
        <v>08:15 bis ca. 14:00</v>
      </c>
      <c r="J124" s="6" t="str">
        <f aca="false">Optionen!J44</f>
        <v>online</v>
      </c>
      <c r="K124" s="9" t="str">
        <f aca="false">Optionen!K44</f>
        <v>Schmeck, Steffi, Frau (Bed) - 1.000 SWS;Reiss, Hans-Christoph, Herr Prof. Dr. (Prof) - 3.000 SWS</v>
      </c>
      <c r="L124" s="1" t="n">
        <f aca="false">'WR LLB'!L29</f>
        <v>0</v>
      </c>
      <c r="M124" s="1" t="n">
        <f aca="false">'WR LLB'!M29</f>
        <v>0</v>
      </c>
    </row>
    <row r="125" customFormat="false" ht="26.85" hidden="false" customHeight="false" outlineLevel="0" collapsed="false">
      <c r="A125" s="6" t="str">
        <f aca="false">'Management MSc'!A3</f>
        <v>20252</v>
      </c>
      <c r="B125" s="6" t="str">
        <f aca="false">'Management MSc'!B3</f>
        <v>996-61103</v>
      </c>
      <c r="C125" s="9" t="str">
        <f aca="false">'Management MSc'!C3</f>
        <v>Forschungsmethoden in der BWL</v>
      </c>
      <c r="D125" s="6" t="n">
        <f aca="false">'Management MSc'!D3</f>
        <v>60103</v>
      </c>
      <c r="E125" s="6" t="n">
        <f aca="false">'Management MSc'!E3</f>
        <v>23</v>
      </c>
      <c r="F125" s="6" t="n">
        <f aca="false">'Management MSc'!F3</f>
        <v>0</v>
      </c>
      <c r="G125" s="6" t="str">
        <f aca="false">'Management MSc'!G3</f>
        <v>1-Fr</v>
      </c>
      <c r="H125" s="8" t="n">
        <f aca="false">'Management MSc'!H3</f>
        <v>46045</v>
      </c>
      <c r="I125" s="6" t="str">
        <f aca="false">'Management MSc'!I3</f>
        <v>18:15 - 20:15</v>
      </c>
      <c r="J125" s="6" t="str">
        <f aca="false">'Management MSc'!J3</f>
        <v>c3.04, c3.06</v>
      </c>
      <c r="K125" s="9" t="str">
        <f aca="false">'Management MSc'!K3</f>
        <v>Spengler, Hannes, Herr Prof. Dr. (Prof) - 3.000 SWS;Redler, Jörn, Herr Prof. Dr. (Prof) - 1.000 SWS</v>
      </c>
      <c r="L125" s="1" t="n">
        <f aca="false">'WR LLB'!L30</f>
        <v>0</v>
      </c>
      <c r="M125" s="1" t="n">
        <f aca="false">'WR LLB'!M30</f>
        <v>0</v>
      </c>
    </row>
    <row r="126" customFormat="false" ht="14.15" hidden="false" customHeight="false" outlineLevel="0" collapsed="false">
      <c r="A126" s="6" t="str">
        <f aca="false">'IB &amp; IMLA MA'!A11</f>
        <v>20252</v>
      </c>
      <c r="B126" s="6" t="str">
        <f aca="false">'IB &amp; IMLA MA'!B11</f>
        <v>964M-103-PE</v>
      </c>
      <c r="C126" s="6" t="str">
        <f aca="false">'IB &amp; IMLA MA'!C11</f>
        <v>Quantitative Analytical Methods</v>
      </c>
      <c r="D126" s="7" t="str">
        <f aca="false">'IB &amp; IMLA MA'!D11</f>
        <v>60152, 52102</v>
      </c>
      <c r="E126" s="6" t="n">
        <f aca="false">'IB &amp; IMLA MA'!E11</f>
        <v>28</v>
      </c>
      <c r="F126" s="6" t="n">
        <f aca="false">'IB &amp; IMLA MA'!F11</f>
        <v>0</v>
      </c>
      <c r="G126" s="6" t="str">
        <f aca="false">'IB &amp; IMLA MA'!G11</f>
        <v>1-Fr</v>
      </c>
      <c r="H126" s="8" t="n">
        <f aca="false">'IB &amp; IMLA MA'!H11</f>
        <v>46045</v>
      </c>
      <c r="I126" s="6" t="str">
        <f aca="false">'IB &amp; IMLA MA'!I11</f>
        <v>13:45 - 15:45 </v>
      </c>
      <c r="J126" s="6" t="str">
        <f aca="false">'IB &amp; IMLA MA'!J11</f>
        <v>Aula</v>
      </c>
      <c r="K126" s="9" t="str">
        <f aca="false">'IB &amp; IMLA MA'!K11</f>
        <v>Porath, Daniel, Herr Prof. Dr. (Prof) - 4.000 SWS</v>
      </c>
      <c r="L126" s="1" t="n">
        <f aca="false">'WR LLB'!L31</f>
        <v>0</v>
      </c>
      <c r="M126" s="1" t="n">
        <f aca="false">'WR LLB'!M31</f>
        <v>0</v>
      </c>
    </row>
    <row r="127" customFormat="false" ht="14.15" hidden="false" customHeight="false" outlineLevel="0" collapsed="false">
      <c r="A127" s="6" t="str">
        <f aca="false">'IB &amp; IMLA MA'!A12</f>
        <v>w</v>
      </c>
      <c r="B127" s="6" t="str">
        <f aca="false">'IB &amp; IMLA MA'!B12</f>
        <v>964-60152</v>
      </c>
      <c r="C127" s="6" t="str">
        <f aca="false">'IB &amp; IMLA MA'!C12</f>
        <v>Quantitative Analytical Methods</v>
      </c>
      <c r="D127" s="7" t="n">
        <f aca="false">'IB &amp; IMLA MA'!D12</f>
        <v>52102</v>
      </c>
      <c r="E127" s="6" t="n">
        <f aca="false">'IB &amp; IMLA MA'!E12</f>
        <v>17</v>
      </c>
      <c r="F127" s="6" t="n">
        <f aca="false">'IB &amp; IMLA MA'!F12</f>
        <v>0</v>
      </c>
      <c r="G127" s="6" t="str">
        <f aca="false">'IB &amp; IMLA MA'!G12</f>
        <v>1-Fr</v>
      </c>
      <c r="H127" s="8" t="n">
        <f aca="false">'IB &amp; IMLA MA'!H12</f>
        <v>46045</v>
      </c>
      <c r="I127" s="6" t="str">
        <f aca="false">'IB &amp; IMLA MA'!I12</f>
        <v>13:45 - 15:45 </v>
      </c>
      <c r="J127" s="6" t="str">
        <f aca="false">'IB &amp; IMLA MA'!J12</f>
        <v>Aula</v>
      </c>
      <c r="K127" s="9" t="str">
        <f aca="false">'IB &amp; IMLA MA'!K12</f>
        <v>Porath, Daniel, Herr Prof. Dr. (Prof) - 4.000 SWS</v>
      </c>
      <c r="L127" s="1" t="n">
        <f aca="false">'WR LLB'!L32</f>
        <v>0</v>
      </c>
      <c r="M127" s="1" t="n">
        <f aca="false">'WR LLB'!M32</f>
        <v>0</v>
      </c>
    </row>
    <row r="128" customFormat="false" ht="14.15" hidden="false" customHeight="false" outlineLevel="0" collapsed="false">
      <c r="A128" s="6" t="str">
        <f aca="false">'IB &amp; IMLA MA'!A13</f>
        <v>w</v>
      </c>
      <c r="B128" s="6" t="str">
        <f aca="false">'IB &amp; IMLA MA'!B13</f>
        <v>B09-60152</v>
      </c>
      <c r="C128" s="6" t="str">
        <f aca="false">'IB &amp; IMLA MA'!C13</f>
        <v>Quantitative Analytical Methods</v>
      </c>
      <c r="D128" s="7" t="n">
        <f aca="false">'IB &amp; IMLA MA'!D13</f>
        <v>52102</v>
      </c>
      <c r="E128" s="6" t="n">
        <f aca="false">'IB &amp; IMLA MA'!E13</f>
        <v>4</v>
      </c>
      <c r="F128" s="6" t="n">
        <f aca="false">'IB &amp; IMLA MA'!F13</f>
        <v>0</v>
      </c>
      <c r="G128" s="6" t="str">
        <f aca="false">'IB &amp; IMLA MA'!G13</f>
        <v>1-Fr</v>
      </c>
      <c r="H128" s="8" t="n">
        <f aca="false">'IB &amp; IMLA MA'!H13</f>
        <v>46045</v>
      </c>
      <c r="I128" s="6" t="str">
        <f aca="false">'IB &amp; IMLA MA'!I13</f>
        <v>13:45 - 15:45 </v>
      </c>
      <c r="J128" s="6" t="str">
        <f aca="false">'IB &amp; IMLA MA'!J13</f>
        <v>Aula</v>
      </c>
      <c r="K128" s="9" t="str">
        <f aca="false">'IB &amp; IMLA MA'!K13</f>
        <v>Porath, Daniel, Herr Prof. Dr. (Prof) - 4.000 SWS</v>
      </c>
      <c r="L128" s="1" t="n">
        <f aca="false">'WR LLB'!L33</f>
        <v>0</v>
      </c>
      <c r="M128" s="1" t="n">
        <f aca="false">'WR LLB'!M33</f>
        <v>0</v>
      </c>
    </row>
    <row r="129" customFormat="false" ht="14.15" hidden="false" customHeight="false" outlineLevel="0" collapsed="false">
      <c r="A129" s="6" t="str">
        <f aca="false">'IB &amp; IMLA MA'!A14</f>
        <v>20252</v>
      </c>
      <c r="B129" s="6" t="str">
        <f aca="false">'IB &amp; IMLA MA'!B14</f>
        <v>F39M-103-PE</v>
      </c>
      <c r="C129" s="6" t="str">
        <f aca="false">'IB &amp; IMLA MA'!C14</f>
        <v>Quantitative Analytical Methods</v>
      </c>
      <c r="D129" s="7" t="str">
        <f aca="false">'IB &amp; IMLA MA'!D14</f>
        <v>60152, 52102</v>
      </c>
      <c r="E129" s="6" t="n">
        <f aca="false">'IB &amp; IMLA MA'!E14</f>
        <v>10</v>
      </c>
      <c r="F129" s="6" t="n">
        <f aca="false">'IB &amp; IMLA MA'!F14</f>
        <v>0</v>
      </c>
      <c r="G129" s="6" t="str">
        <f aca="false">'IB &amp; IMLA MA'!G14</f>
        <v>1-Fr</v>
      </c>
      <c r="H129" s="8" t="n">
        <f aca="false">'IB &amp; IMLA MA'!H14</f>
        <v>46045</v>
      </c>
      <c r="I129" s="6" t="str">
        <f aca="false">'IB &amp; IMLA MA'!I14</f>
        <v>13:45 - 15:45 </v>
      </c>
      <c r="J129" s="6" t="str">
        <f aca="false">'IB &amp; IMLA MA'!J14</f>
        <v>Aula</v>
      </c>
      <c r="K129" s="9" t="str">
        <f aca="false">'IB &amp; IMLA MA'!K14</f>
        <v>Porath, Daniel, Herr Prof. Dr. (Prof) - 4.000 SWS</v>
      </c>
      <c r="L129" s="1" t="n">
        <f aca="false">'WR LLB'!L34</f>
        <v>0</v>
      </c>
      <c r="M129" s="1" t="n">
        <f aca="false">'WR LLB'!M34</f>
        <v>0</v>
      </c>
    </row>
    <row r="130" customFormat="false" ht="14.15" hidden="false" customHeight="false" outlineLevel="0" collapsed="false">
      <c r="A130" s="6" t="str">
        <f aca="false">'BA MSc'!A11</f>
        <v>w</v>
      </c>
      <c r="B130" s="6" t="str">
        <f aca="false">'BA MSc'!B11</f>
        <v>A23-70201</v>
      </c>
      <c r="C130" s="9" t="str">
        <f aca="false">'BA MSc'!C11</f>
        <v>Investition &amp; Finanzierung</v>
      </c>
      <c r="D130" s="6" t="n">
        <f aca="false">'BA MSc'!D11</f>
        <v>60201</v>
      </c>
      <c r="E130" s="6" t="n">
        <f aca="false">'BA MSc'!E11</f>
        <v>3</v>
      </c>
      <c r="F130" s="6" t="n">
        <f aca="false">'BA MSc'!F11</f>
        <v>0</v>
      </c>
      <c r="G130" s="6" t="str">
        <f aca="false">'BA MSc'!G11</f>
        <v>1-Fr</v>
      </c>
      <c r="H130" s="8" t="n">
        <f aca="false">'BA MSc'!H11</f>
        <v>46045</v>
      </c>
      <c r="I130" s="6" t="str">
        <f aca="false">'BA MSc'!I11</f>
        <v>18:15 - 20:15</v>
      </c>
      <c r="J130" s="6" t="str">
        <f aca="false">'BA MSc'!J11</f>
        <v>a3.04</v>
      </c>
      <c r="K130" s="9" t="str">
        <f aca="false">'BA MSc'!K11</f>
        <v>Lennartz, Wolfgang, Herr Prof. Dr. (Prof) - 4.000 SWS</v>
      </c>
      <c r="L130" s="1" t="n">
        <f aca="false">'WR LLB'!L35</f>
        <v>0</v>
      </c>
      <c r="M130" s="1" t="n">
        <f aca="false">'WR LLB'!M35</f>
        <v>0</v>
      </c>
    </row>
    <row r="131" customFormat="false" ht="39.55" hidden="false" customHeight="false" outlineLevel="0" collapsed="false">
      <c r="A131" s="6" t="str">
        <f aca="false">Optionen!A2</f>
        <v>20252</v>
      </c>
      <c r="B131" s="6" t="str">
        <f aca="false">Optionen!B2</f>
        <v>000-10043</v>
      </c>
      <c r="C131" s="6" t="str">
        <f aca="false">Optionen!C2</f>
        <v>Aktuelle Trends im Controlling (Klausur und Präsentationen incl. Hausarbeit)</v>
      </c>
      <c r="D131" s="7" t="n">
        <f aca="false">Optionen!D2</f>
        <v>0</v>
      </c>
      <c r="E131" s="6" t="n">
        <f aca="false">Optionen!E2</f>
        <v>10</v>
      </c>
      <c r="F131" s="6" t="n">
        <f aca="false">Optionen!F2</f>
        <v>0</v>
      </c>
      <c r="G131" s="6" t="str">
        <f aca="false">Optionen!G2</f>
        <v>1-Fr</v>
      </c>
      <c r="H131" s="8" t="n">
        <f aca="false">Optionen!H2</f>
        <v>46045</v>
      </c>
      <c r="I131" s="6" t="str">
        <f aca="false">Optionen!I2</f>
        <v>16:00 - 17:00</v>
      </c>
      <c r="J131" s="6" t="str">
        <f aca="false">Optionen!J2</f>
        <v>a3.08</v>
      </c>
      <c r="K131" s="9" t="str">
        <f aca="false">Optionen!K2</f>
        <v>Rathje, Britta, Frau Prof. Dr. (Prof) - 1.200 SWS;Deimel, Ralf, Herr (LBA) - 1.200 SWS;Landwehr-Zloch, Sabine, Frau Prof. Dr. (Prof) - 1.600 SWS</v>
      </c>
      <c r="L131" s="1" t="n">
        <f aca="false">'WR LLB'!L36</f>
        <v>0</v>
      </c>
      <c r="M131" s="1" t="n">
        <f aca="false">'WR LLB'!M36</f>
        <v>0</v>
      </c>
    </row>
    <row r="132" customFormat="false" ht="26.85" hidden="false" customHeight="false" outlineLevel="0" collapsed="false">
      <c r="A132" s="6" t="str">
        <f aca="false">Optionen!A16</f>
        <v>20252</v>
      </c>
      <c r="B132" s="6" t="str">
        <f aca="false">Optionen!B16</f>
        <v>000-12049</v>
      </c>
      <c r="C132" s="6" t="str">
        <f aca="false">Optionen!C16</f>
        <v>Data Science für BWL</v>
      </c>
      <c r="D132" s="6" t="n">
        <f aca="false">Optionen!D16</f>
        <v>0</v>
      </c>
      <c r="E132" s="6" t="n">
        <f aca="false">Optionen!E16</f>
        <v>7</v>
      </c>
      <c r="F132" s="6" t="n">
        <f aca="false">Optionen!F16</f>
        <v>0</v>
      </c>
      <c r="G132" s="6" t="str">
        <f aca="false">Optionen!G16</f>
        <v>1-Fr</v>
      </c>
      <c r="H132" s="8" t="n">
        <f aca="false">Optionen!H16</f>
        <v>46045</v>
      </c>
      <c r="I132" s="6" t="str">
        <f aca="false">Optionen!I16</f>
        <v>16:00 - 17:00</v>
      </c>
      <c r="J132" s="6" t="str">
        <f aca="false">Optionen!J16</f>
        <v>a3.04</v>
      </c>
      <c r="K132" s="9" t="str">
        <f aca="false">Optionen!K16</f>
        <v>Kowalczyk, Martin, Herr Prof. Dr. (Prof) - 2.000 SWS;Huschens, Martin, Herr Prof. Dr. (Prof) - 2.000 SWS</v>
      </c>
      <c r="L132" s="1" t="n">
        <f aca="false">'WR LLB'!L37</f>
        <v>0</v>
      </c>
      <c r="M132" s="1" t="n">
        <f aca="false">'WR LLB'!M37</f>
        <v>0</v>
      </c>
    </row>
    <row r="133" customFormat="false" ht="26.85" hidden="false" customHeight="false" outlineLevel="0" collapsed="false">
      <c r="A133" s="6" t="str">
        <f aca="false">Optionen!A26</f>
        <v>20252</v>
      </c>
      <c r="B133" s="6" t="str">
        <f aca="false">Optionen!B26</f>
        <v>000-15023</v>
      </c>
      <c r="C133" s="9" t="str">
        <f aca="false">Optionen!C26</f>
        <v>Game Development (Gruppenpräsentationen)</v>
      </c>
      <c r="D133" s="6" t="n">
        <f aca="false">Optionen!D26</f>
        <v>0</v>
      </c>
      <c r="E133" s="6" t="n">
        <f aca="false">Optionen!E26</f>
        <v>0</v>
      </c>
      <c r="F133" s="6" t="n">
        <f aca="false">Optionen!F26</f>
        <v>0</v>
      </c>
      <c r="G133" s="6" t="str">
        <f aca="false">Optionen!G26</f>
        <v>1-Fr</v>
      </c>
      <c r="H133" s="8" t="n">
        <f aca="false">Optionen!H26</f>
        <v>46045</v>
      </c>
      <c r="I133" s="6" t="str">
        <f aca="false">Optionen!I26</f>
        <v>15:00 – 19:00</v>
      </c>
      <c r="J133" s="6" t="str">
        <f aca="false">Optionen!J26</f>
        <v>c3.08</v>
      </c>
      <c r="K133" s="9" t="str">
        <f aca="false">Optionen!K26</f>
        <v>Metz, Tom-Niklas, Herr (LBA) - 2.000 SWS;Täffner, Marcel, Herr (LBA) - 2.000 SWS</v>
      </c>
      <c r="L133" s="1" t="n">
        <f aca="false">'WR LLB'!L38</f>
        <v>0</v>
      </c>
      <c r="M133" s="1" t="n">
        <f aca="false">'WR LLB'!M38</f>
        <v>0</v>
      </c>
    </row>
    <row r="134" customFormat="false" ht="14.15" hidden="false" customHeight="false" outlineLevel="0" collapsed="false">
      <c r="A134" s="6" t="str">
        <f aca="false">'WR LLB'!A39</f>
        <v>20252</v>
      </c>
      <c r="B134" s="6" t="str">
        <f aca="false">'WR LLB'!B39</f>
        <v>932-2303 (A)</v>
      </c>
      <c r="C134" s="6" t="str">
        <f aca="false">'WR LLB'!C39</f>
        <v>Kapitalgesellschaftsrecht</v>
      </c>
      <c r="D134" s="7" t="str">
        <f aca="false">'WR LLB'!D39</f>
        <v>042B-302-P</v>
      </c>
      <c r="E134" s="6" t="n">
        <f aca="false">'WR LLB'!E39</f>
        <v>26</v>
      </c>
      <c r="F134" s="6" t="n">
        <f aca="false">'WR LLB'!F39</f>
        <v>0</v>
      </c>
      <c r="G134" s="6" t="str">
        <f aca="false">'WR LLB'!G39</f>
        <v>1-Sa</v>
      </c>
      <c r="H134" s="8" t="n">
        <f aca="false">'WR LLB'!H39</f>
        <v>46046</v>
      </c>
      <c r="I134" s="6" t="str">
        <f aca="false">'WR LLB'!I39</f>
        <v>13:45 - 15:45</v>
      </c>
      <c r="J134" s="6" t="str">
        <f aca="false">'WR LLB'!J39</f>
        <v>C3.10</v>
      </c>
      <c r="K134" s="9" t="str">
        <f aca="false">'WR LLB'!K39</f>
        <v>Haas, Ingeborg, Frau Prof. Dr. (Prof) - 4.000 SWS</v>
      </c>
      <c r="L134" s="1" t="n">
        <f aca="false">'WR LLB'!L39</f>
        <v>0</v>
      </c>
      <c r="M134" s="1" t="n">
        <f aca="false">'WR LLB'!M39</f>
        <v>0</v>
      </c>
    </row>
    <row r="135" customFormat="false" ht="14.15" hidden="false" customHeight="false" outlineLevel="0" collapsed="false">
      <c r="A135" s="6" t="str">
        <f aca="false">'WR LLB'!A40</f>
        <v>20252</v>
      </c>
      <c r="B135" s="6" t="str">
        <f aca="false">'WR LLB'!B40</f>
        <v>932-2303 (B)</v>
      </c>
      <c r="C135" s="6" t="str">
        <f aca="false">'WR LLB'!C40</f>
        <v>Kapitalgesellschaftsrecht</v>
      </c>
      <c r="D135" s="7" t="n">
        <f aca="false">'WR LLB'!D40</f>
        <v>0</v>
      </c>
      <c r="E135" s="6" t="n">
        <f aca="false">'WR LLB'!E40</f>
        <v>23</v>
      </c>
      <c r="F135" s="28" t="n">
        <f aca="false">'WR LLB'!F40</f>
        <v>0.5</v>
      </c>
      <c r="G135" s="6" t="str">
        <f aca="false">'WR LLB'!G40</f>
        <v>1-Sa</v>
      </c>
      <c r="H135" s="8" t="n">
        <f aca="false">'WR LLB'!H40</f>
        <v>46046</v>
      </c>
      <c r="I135" s="6" t="str">
        <f aca="false">'WR LLB'!I40</f>
        <v>13:45 - 15:45</v>
      </c>
      <c r="J135" s="6" t="str">
        <f aca="false">'WR LLB'!J40</f>
        <v>C3.08 A0.12</v>
      </c>
      <c r="K135" s="9" t="str">
        <f aca="false">'WR LLB'!K40</f>
        <v>Haas, Ingeborg, Frau Prof. Dr. (Prof) - 4.000 SWS</v>
      </c>
      <c r="L135" s="1" t="n">
        <f aca="false">'WR LLB'!L40</f>
        <v>0</v>
      </c>
      <c r="M135" s="1" t="n">
        <f aca="false">'WR LLB'!M40</f>
        <v>0</v>
      </c>
    </row>
    <row r="136" customFormat="false" ht="26.85" hidden="false" customHeight="false" outlineLevel="0" collapsed="false">
      <c r="A136" s="6" t="str">
        <f aca="false">'WR LLB'!A64</f>
        <v>20252</v>
      </c>
      <c r="B136" s="6" t="str">
        <f aca="false">'WR LLB'!B64</f>
        <v>932-2601</v>
      </c>
      <c r="C136" s="6" t="str">
        <f aca="false">'WR LLB'!C64</f>
        <v>WPR-Examinatorium</v>
      </c>
      <c r="D136" s="7" t="str">
        <f aca="false">'WR LLB'!D64</f>
        <v>1703, 042B-601-P</v>
      </c>
      <c r="E136" s="6" t="n">
        <f aca="false">'WR LLB'!E64</f>
        <v>32</v>
      </c>
      <c r="F136" s="6" t="n">
        <f aca="false">'WR LLB'!F64</f>
        <v>0</v>
      </c>
      <c r="G136" s="6" t="str">
        <f aca="false">'WR LLB'!G64</f>
        <v>1-Sa</v>
      </c>
      <c r="H136" s="8" t="n">
        <f aca="false">'WR LLB'!H64</f>
        <v>46046</v>
      </c>
      <c r="I136" s="6" t="str">
        <f aca="false">'WR LLB'!I64</f>
        <v>09:30 - 13:30</v>
      </c>
      <c r="J136" s="6" t="str">
        <f aca="false">'WR LLB'!J64</f>
        <v>A3.04, a3.08</v>
      </c>
      <c r="K136" s="9" t="str">
        <f aca="false">'WR LLB'!K64</f>
        <v>Baldus, Bianca, Frau Prof. Dr. (Prof) - 1.000 SWS;Kober, Wolfgang, Herr Prof. Dr. (LBA) - 3.000 SWS</v>
      </c>
      <c r="L136" s="1" t="n">
        <f aca="false">'WR LLB'!L41</f>
        <v>0</v>
      </c>
      <c r="M136" s="1" t="n">
        <f aca="false">'WR LLB'!M41</f>
        <v>0</v>
      </c>
    </row>
    <row r="137" customFormat="false" ht="26.85" hidden="false" customHeight="false" outlineLevel="0" collapsed="false">
      <c r="A137" s="6" t="str">
        <f aca="false">'WR LLM'!A6</f>
        <v>w</v>
      </c>
      <c r="B137" s="6" t="str">
        <f aca="false">'WR LLM'!B6</f>
        <v>932-60105</v>
      </c>
      <c r="C137" s="9" t="str">
        <f aca="false">'WR LLM'!C6</f>
        <v>Personalmanagement &amp; Organisation</v>
      </c>
      <c r="D137" s="6" t="n">
        <f aca="false">'WR LLM'!D6</f>
        <v>0</v>
      </c>
      <c r="E137" s="6" t="n">
        <f aca="false">'WR LLM'!E6</f>
        <v>0</v>
      </c>
      <c r="F137" s="6" t="n">
        <f aca="false">'WR LLM'!F6</f>
        <v>0</v>
      </c>
      <c r="G137" s="6" t="str">
        <f aca="false">'WR LLM'!G6</f>
        <v>1-Sa</v>
      </c>
      <c r="H137" s="8" t="n">
        <f aca="false">'WR LLM'!H6</f>
        <v>46046</v>
      </c>
      <c r="I137" s="6" t="str">
        <f aca="false">'WR LLM'!I6</f>
        <v>09:30 -11:00</v>
      </c>
      <c r="J137" s="6" t="n">
        <f aca="false">'WR LLM'!J6</f>
        <v>0</v>
      </c>
      <c r="K137" s="9" t="str">
        <f aca="false">'WR LLM'!K6</f>
        <v>Schreiber, Dominik, Herr (LBA) - 1.500 SWS;Kaufmann, Michael, Herr Prof. Dr. (Prof) - 2.500 SWS</v>
      </c>
      <c r="L137" s="1" t="n">
        <f aca="false">'WR LLB'!L42</f>
        <v>0</v>
      </c>
      <c r="M137" s="1" t="n">
        <f aca="false">'WR LLB'!M42</f>
        <v>0</v>
      </c>
    </row>
    <row r="138" customFormat="false" ht="14.15" hidden="false" customHeight="false" outlineLevel="0" collapsed="false">
      <c r="A138" s="6" t="str">
        <f aca="false">'BWL BSc u. BWL ÖD BSc'!A5</f>
        <v>20252</v>
      </c>
      <c r="B138" s="6" t="str">
        <f aca="false">'BWL BSc u. BWL ÖD BSc'!B5</f>
        <v>021/D43-3102 (A )</v>
      </c>
      <c r="C138" s="6" t="str">
        <f aca="false">'BWL BSc u. BWL ÖD BSc'!C5</f>
        <v>Mathematik</v>
      </c>
      <c r="D138" s="7" t="str">
        <f aca="false">'BWL BSc u. BWL ÖD BSc'!D5</f>
        <v>2102, 1104</v>
      </c>
      <c r="E138" s="6" t="n">
        <f aca="false">'BWL BSc u. BWL ÖD BSc'!E5</f>
        <v>39</v>
      </c>
      <c r="F138" s="6" t="n">
        <f aca="false">'BWL BSc u. BWL ÖD BSc'!F5</f>
        <v>0</v>
      </c>
      <c r="G138" s="6" t="str">
        <f aca="false">'BWL BSc u. BWL ÖD BSc'!G5</f>
        <v>2-Mo</v>
      </c>
      <c r="H138" s="8" t="n">
        <f aca="false">'BWL BSc u. BWL ÖD BSc'!H5</f>
        <v>46048</v>
      </c>
      <c r="I138" s="6" t="str">
        <f aca="false">'BWL BSc u. BWL ÖD BSc'!I5</f>
        <v>11:45 - 13:15</v>
      </c>
      <c r="J138" s="6" t="str">
        <f aca="false">'BWL BSc u. BWL ÖD BSc'!J5</f>
        <v>Aula</v>
      </c>
      <c r="K138" s="9" t="str">
        <f aca="false">'BWL BSc u. BWL ÖD BSc'!K5</f>
        <v>Barzen, Frank, Herr (LBA) - 4.000 SWS</v>
      </c>
      <c r="L138" s="1" t="n">
        <f aca="false">'WR LLB'!L43</f>
        <v>0</v>
      </c>
      <c r="M138" s="1" t="n">
        <f aca="false">'WR LLB'!M43</f>
        <v>0</v>
      </c>
    </row>
    <row r="139" customFormat="false" ht="14.15" hidden="false" customHeight="false" outlineLevel="0" collapsed="false">
      <c r="A139" s="6" t="str">
        <f aca="false">'BWL BSc u. BWL ÖD BSc'!A6</f>
        <v>20252</v>
      </c>
      <c r="B139" s="6" t="str">
        <f aca="false">'BWL BSc u. BWL ÖD BSc'!B6</f>
        <v>021-3102 (B)</v>
      </c>
      <c r="C139" s="6" t="str">
        <f aca="false">'BWL BSc u. BWL ÖD BSc'!C6</f>
        <v>Mathematik</v>
      </c>
      <c r="D139" s="7" t="n">
        <f aca="false">'BWL BSc u. BWL ÖD BSc'!D6</f>
        <v>0</v>
      </c>
      <c r="E139" s="6" t="n">
        <f aca="false">'BWL BSc u. BWL ÖD BSc'!E6</f>
        <v>34</v>
      </c>
      <c r="F139" s="6" t="n">
        <f aca="false">'BWL BSc u. BWL ÖD BSc'!F6</f>
        <v>0</v>
      </c>
      <c r="G139" s="6" t="str">
        <f aca="false">'BWL BSc u. BWL ÖD BSc'!G6</f>
        <v>2-Mo</v>
      </c>
      <c r="H139" s="8" t="n">
        <f aca="false">'BWL BSc u. BWL ÖD BSc'!H6</f>
        <v>46048</v>
      </c>
      <c r="I139" s="6" t="str">
        <f aca="false">'BWL BSc u. BWL ÖD BSc'!I6</f>
        <v>11:45 - 13:15</v>
      </c>
      <c r="J139" s="6" t="str">
        <f aca="false">'BWL BSc u. BWL ÖD BSc'!J6</f>
        <v>Aula</v>
      </c>
      <c r="K139" s="9" t="str">
        <f aca="false">'BWL BSc u. BWL ÖD BSc'!K6</f>
        <v>Gadatsch, Niklas, Herr Prof. Dr. (Prof) - 4.000 SWS</v>
      </c>
      <c r="L139" s="1" t="n">
        <f aca="false">'WR LLB'!L44</f>
        <v>0</v>
      </c>
      <c r="M139" s="1" t="n">
        <f aca="false">'WR LLB'!M44</f>
        <v>0</v>
      </c>
    </row>
    <row r="140" customFormat="false" ht="14.15" hidden="false" customHeight="false" outlineLevel="0" collapsed="false">
      <c r="A140" s="6" t="str">
        <f aca="false">'BWL BSc u. BWL ÖD BSc'!A7</f>
        <v>20252</v>
      </c>
      <c r="B140" s="6" t="str">
        <f aca="false">'BWL BSc u. BWL ÖD BSc'!B7</f>
        <v>021-3102 (C)</v>
      </c>
      <c r="C140" s="6" t="str">
        <f aca="false">'BWL BSc u. BWL ÖD BSc'!C7</f>
        <v>Mathematik</v>
      </c>
      <c r="D140" s="7" t="n">
        <f aca="false">'BWL BSc u. BWL ÖD BSc'!D7</f>
        <v>0</v>
      </c>
      <c r="E140" s="6" t="n">
        <f aca="false">'BWL BSc u. BWL ÖD BSc'!E7</f>
        <v>44</v>
      </c>
      <c r="F140" s="6" t="n">
        <f aca="false">'BWL BSc u. BWL ÖD BSc'!F7</f>
        <v>0</v>
      </c>
      <c r="G140" s="6" t="str">
        <f aca="false">'BWL BSc u. BWL ÖD BSc'!G7</f>
        <v>2-Mo</v>
      </c>
      <c r="H140" s="8" t="n">
        <f aca="false">'BWL BSc u. BWL ÖD BSc'!H7</f>
        <v>46048</v>
      </c>
      <c r="I140" s="6" t="str">
        <f aca="false">'BWL BSc u. BWL ÖD BSc'!I7</f>
        <v>11:45 - 13:15</v>
      </c>
      <c r="J140" s="6" t="str">
        <f aca="false">'BWL BSc u. BWL ÖD BSc'!J7</f>
        <v>Aula</v>
      </c>
      <c r="K140" s="9" t="str">
        <f aca="false">'BWL BSc u. BWL ÖD BSc'!K7</f>
        <v>Gadatsch, Niklas, Herr Prof. Dr. (Prof) - 4.000 SWS</v>
      </c>
      <c r="L140" s="1" t="n">
        <f aca="false">'WR LLB'!L45</f>
        <v>0</v>
      </c>
      <c r="M140" s="1" t="n">
        <f aca="false">'WR LLB'!M45</f>
        <v>0</v>
      </c>
    </row>
    <row r="141" customFormat="false" ht="14.15" hidden="false" customHeight="false" outlineLevel="0" collapsed="false">
      <c r="A141" s="6" t="str">
        <f aca="false">'BWL BSc u. BWL ÖD BSc'!A8</f>
        <v>20252</v>
      </c>
      <c r="B141" s="6" t="str">
        <f aca="false">'BWL BSc u. BWL ÖD BSc'!B8</f>
        <v>021-3102/PAN</v>
      </c>
      <c r="C141" s="6" t="str">
        <f aca="false">'BWL BSc u. BWL ÖD BSc'!C8</f>
        <v>Mathematik (PAN)</v>
      </c>
      <c r="D141" s="7" t="n">
        <f aca="false">'BWL BSc u. BWL ÖD BSc'!D8</f>
        <v>0</v>
      </c>
      <c r="E141" s="6" t="n">
        <f aca="false">'BWL BSc u. BWL ÖD BSc'!E8</f>
        <v>65</v>
      </c>
      <c r="F141" s="6" t="n">
        <f aca="false">'BWL BSc u. BWL ÖD BSc'!F8</f>
        <v>0</v>
      </c>
      <c r="G141" s="6" t="str">
        <f aca="false">'BWL BSc u. BWL ÖD BSc'!G8</f>
        <v>2-Mo</v>
      </c>
      <c r="H141" s="8" t="n">
        <f aca="false">'BWL BSc u. BWL ÖD BSc'!H8</f>
        <v>46048</v>
      </c>
      <c r="I141" s="6" t="str">
        <f aca="false">'BWL BSc u. BWL ÖD BSc'!I8</f>
        <v>11:45 - 13:15</v>
      </c>
      <c r="J141" s="6" t="str">
        <f aca="false">'BWL BSc u. BWL ÖD BSc'!J8</f>
        <v>d0.01, d0.03</v>
      </c>
      <c r="K141" s="9" t="str">
        <f aca="false">'BWL BSc u. BWL ÖD BSc'!K8</f>
        <v>Stielow, Christian, Herr (LKfbA) - 4.000 SWS</v>
      </c>
      <c r="L141" s="1" t="n">
        <f aca="false">'WR LLB'!L46</f>
        <v>0</v>
      </c>
      <c r="M141" s="1" t="n">
        <f aca="false">'WR LLB'!M46</f>
        <v>0</v>
      </c>
    </row>
    <row r="142" customFormat="false" ht="14.15" hidden="false" customHeight="false" outlineLevel="0" collapsed="false">
      <c r="A142" s="6" t="str">
        <f aca="false">'BWL BSc u. BWL ÖD BSc'!A50</f>
        <v>20252</v>
      </c>
      <c r="B142" s="6" t="str">
        <f aca="false">'BWL BSc u. BWL ÖD BSc'!B50</f>
        <v>021/D43-3303 (A)</v>
      </c>
      <c r="C142" s="6" t="str">
        <f aca="false">'BWL BSc u. BWL ÖD BSc'!C50</f>
        <v>Materialwirtschaft, Logistik &amp; Produktion</v>
      </c>
      <c r="D142" s="6" t="n">
        <f aca="false">'BWL BSc u. BWL ÖD BSc'!D50</f>
        <v>2303.1201</v>
      </c>
      <c r="E142" s="6" t="n">
        <f aca="false">'BWL BSc u. BWL ÖD BSc'!E50</f>
        <v>47</v>
      </c>
      <c r="F142" s="6" t="n">
        <f aca="false">'BWL BSc u. BWL ÖD BSc'!F50</f>
        <v>0</v>
      </c>
      <c r="G142" s="6" t="str">
        <f aca="false">'BWL BSc u. BWL ÖD BSc'!G50</f>
        <v>2-Mo</v>
      </c>
      <c r="H142" s="8" t="n">
        <f aca="false">'BWL BSc u. BWL ÖD BSc'!H50</f>
        <v>46048</v>
      </c>
      <c r="I142" s="6" t="str">
        <f aca="false">'BWL BSc u. BWL ÖD BSc'!I50</f>
        <v>13:45 - 15:15</v>
      </c>
      <c r="J142" s="6" t="str">
        <f aca="false">'BWL BSc u. BWL ÖD BSc'!J50</f>
        <v>Aula</v>
      </c>
      <c r="K142" s="9" t="str">
        <f aca="false">'BWL BSc u. BWL ÖD BSc'!K50</f>
        <v>Bals, Lydia, Frau Prof. Dr. (Prof) - 4.000 SWS</v>
      </c>
      <c r="L142" s="1" t="n">
        <f aca="false">'WR LLB'!L47</f>
        <v>0</v>
      </c>
      <c r="M142" s="1" t="n">
        <f aca="false">'WR LLB'!M47</f>
        <v>0</v>
      </c>
    </row>
    <row r="143" customFormat="false" ht="26.85" hidden="false" customHeight="false" outlineLevel="0" collapsed="false">
      <c r="A143" s="6" t="str">
        <f aca="false">'BWL BSc u. BWL ÖD BSc'!A51</f>
        <v>20252</v>
      </c>
      <c r="B143" s="6" t="str">
        <f aca="false">'BWL BSc u. BWL ÖD BSc'!B51</f>
        <v>021-3303 (B)</v>
      </c>
      <c r="C143" s="6" t="str">
        <f aca="false">'BWL BSc u. BWL ÖD BSc'!C51</f>
        <v>Materialwirtschaft, Logistik &amp; Produktion</v>
      </c>
      <c r="D143" s="6" t="n">
        <f aca="false">'BWL BSc u. BWL ÖD BSc'!D51</f>
        <v>0</v>
      </c>
      <c r="E143" s="6" t="n">
        <f aca="false">'BWL BSc u. BWL ÖD BSc'!E51</f>
        <v>26</v>
      </c>
      <c r="F143" s="6" t="n">
        <f aca="false">'BWL BSc u. BWL ÖD BSc'!F51</f>
        <v>0</v>
      </c>
      <c r="G143" s="6" t="str">
        <f aca="false">'BWL BSc u. BWL ÖD BSc'!G51</f>
        <v>2-Mo</v>
      </c>
      <c r="H143" s="8" t="n">
        <f aca="false">'BWL BSc u. BWL ÖD BSc'!H51</f>
        <v>46048</v>
      </c>
      <c r="I143" s="6" t="str">
        <f aca="false">'BWL BSc u. BWL ÖD BSc'!I51</f>
        <v>13:45 - 15:15</v>
      </c>
      <c r="J143" s="6" t="str">
        <f aca="false">'BWL BSc u. BWL ÖD BSc'!J51</f>
        <v>Aula</v>
      </c>
      <c r="K143" s="9" t="str">
        <f aca="false">'BWL BSc u. BWL ÖD BSc'!K51</f>
        <v>Müller, Sebastian, Herr Prof. Dr. (Prof) - 3.000 SWS;Bals, Lydia, Frau Prof. Dr. (Prof) - 1.000 SWS</v>
      </c>
      <c r="L143" s="1" t="n">
        <f aca="false">'WR LLB'!L48</f>
        <v>0</v>
      </c>
      <c r="M143" s="1" t="n">
        <f aca="false">'WR LLB'!M48</f>
        <v>0</v>
      </c>
    </row>
    <row r="144" customFormat="false" ht="26.85" hidden="false" customHeight="false" outlineLevel="0" collapsed="false">
      <c r="A144" s="6" t="str">
        <f aca="false">'BWL BSc u. BWL ÖD BSc'!A52</f>
        <v>20252</v>
      </c>
      <c r="B144" s="6" t="str">
        <f aca="false">'BWL BSc u. BWL ÖD BSc'!B52</f>
        <v>021-3303 (C)</v>
      </c>
      <c r="C144" s="6" t="str">
        <f aca="false">'BWL BSc u. BWL ÖD BSc'!C52</f>
        <v>Materialwirtschaft, Logistik &amp; Produktion</v>
      </c>
      <c r="D144" s="6" t="n">
        <f aca="false">'BWL BSc u. BWL ÖD BSc'!D52</f>
        <v>0</v>
      </c>
      <c r="E144" s="6" t="n">
        <f aca="false">'BWL BSc u. BWL ÖD BSc'!E52</f>
        <v>36</v>
      </c>
      <c r="F144" s="6" t="n">
        <f aca="false">'BWL BSc u. BWL ÖD BSc'!F52</f>
        <v>0</v>
      </c>
      <c r="G144" s="6" t="str">
        <f aca="false">'BWL BSc u. BWL ÖD BSc'!G52</f>
        <v>2-Mo</v>
      </c>
      <c r="H144" s="8" t="n">
        <f aca="false">'BWL BSc u. BWL ÖD BSc'!H52</f>
        <v>46048</v>
      </c>
      <c r="I144" s="6" t="str">
        <f aca="false">'BWL BSc u. BWL ÖD BSc'!I52</f>
        <v>13:45 - 15:15</v>
      </c>
      <c r="J144" s="6" t="str">
        <f aca="false">'BWL BSc u. BWL ÖD BSc'!J52</f>
        <v>Aula</v>
      </c>
      <c r="K144" s="9" t="str">
        <f aca="false">'BWL BSc u. BWL ÖD BSc'!K52</f>
        <v>Müller, Sebastian, Herr Prof. Dr. (Prof) - 3.000 SWS;Bals, Lydia, Frau Prof. Dr. (Prof) - 1.000 SWS</v>
      </c>
      <c r="L144" s="1" t="n">
        <f aca="false">'WR LLB'!L49</f>
        <v>0</v>
      </c>
      <c r="M144" s="1" t="n">
        <f aca="false">'WR LLB'!M49</f>
        <v>0</v>
      </c>
    </row>
    <row r="145" customFormat="false" ht="13.8" hidden="false" customHeight="false" outlineLevel="0" collapsed="false">
      <c r="A145" s="6" t="str">
        <f aca="false">'BWL BSc u. BWL ÖD BSc'!A77</f>
        <v>20252</v>
      </c>
      <c r="B145" s="6" t="str">
        <f aca="false">'BWL BSc u. BWL ÖD BSc'!B77</f>
        <v>021/D43-2551 (I)</v>
      </c>
      <c r="C145" s="6" t="str">
        <f aca="false">'BWL BSc u. BWL ÖD BSc'!C77</f>
        <v>International Management</v>
      </c>
      <c r="D145" s="6" t="n">
        <f aca="false">'BWL BSc u. BWL ÖD BSc'!D77</f>
        <v>3551.1551</v>
      </c>
      <c r="E145" s="6" t="n">
        <f aca="false">'BWL BSc u. BWL ÖD BSc'!E77</f>
        <v>34</v>
      </c>
      <c r="F145" s="28" t="n">
        <f aca="false">'BWL BSc u. BWL ÖD BSc'!F77</f>
        <v>0.1</v>
      </c>
      <c r="G145" s="6" t="str">
        <f aca="false">'BWL BSc u. BWL ÖD BSc'!G77</f>
        <v>2-Mo</v>
      </c>
      <c r="H145" s="8" t="n">
        <f aca="false">'BWL BSc u. BWL ÖD BSc'!H77</f>
        <v>46048</v>
      </c>
      <c r="I145" s="6" t="str">
        <f aca="false">'BWL BSc u. BWL ÖD BSc'!I77</f>
        <v>07:45 - 09:15</v>
      </c>
      <c r="J145" s="6" t="str">
        <f aca="false">'BWL BSc u. BWL ÖD BSc'!J77</f>
        <v>Aula, A0.12</v>
      </c>
      <c r="K145" s="9" t="str">
        <f aca="false">'BWL BSc u. BWL ÖD BSc'!K77</f>
        <v>Timmer, Stéphane, Herr Prof. Dr. (LBA) - 4.000 SWS</v>
      </c>
      <c r="L145" s="1" t="n">
        <f aca="false">'WR LLB'!L50</f>
        <v>0</v>
      </c>
      <c r="M145" s="1" t="n">
        <f aca="false">'WR LLB'!M50</f>
        <v>0</v>
      </c>
    </row>
    <row r="146" customFormat="false" ht="13.8" hidden="false" customHeight="false" outlineLevel="0" collapsed="false">
      <c r="A146" s="6" t="str">
        <f aca="false">'BWL BSc u. BWL ÖD BSc'!A78</f>
        <v>20252</v>
      </c>
      <c r="B146" s="6" t="str">
        <f aca="false">'BWL BSc u. BWL ÖD BSc'!B78</f>
        <v>021/D43-2551 (II)</v>
      </c>
      <c r="C146" s="6" t="str">
        <f aca="false">'BWL BSc u. BWL ÖD BSc'!C78</f>
        <v>International Management</v>
      </c>
      <c r="D146" s="6" t="n">
        <f aca="false">'BWL BSc u. BWL ÖD BSc'!D78</f>
        <v>0</v>
      </c>
      <c r="E146" s="6" t="n">
        <f aca="false">'BWL BSc u. BWL ÖD BSc'!E78</f>
        <v>33</v>
      </c>
      <c r="F146" s="6" t="n">
        <f aca="false">'BWL BSc u. BWL ÖD BSc'!F78</f>
        <v>0</v>
      </c>
      <c r="G146" s="6" t="str">
        <f aca="false">'BWL BSc u. BWL ÖD BSc'!G78</f>
        <v>2-Mo</v>
      </c>
      <c r="H146" s="8" t="n">
        <f aca="false">'BWL BSc u. BWL ÖD BSc'!H78</f>
        <v>46048</v>
      </c>
      <c r="I146" s="6" t="str">
        <f aca="false">'BWL BSc u. BWL ÖD BSc'!I78</f>
        <v>07:45 - 09:15</v>
      </c>
      <c r="J146" s="6" t="str">
        <f aca="false">'BWL BSc u. BWL ÖD BSc'!J78</f>
        <v>Aula</v>
      </c>
      <c r="K146" s="9" t="str">
        <f aca="false">'BWL BSc u. BWL ÖD BSc'!K78</f>
        <v>Timmer, Stéphane, Herr Prof. Dr. (LBA) - 4.000 SWS</v>
      </c>
      <c r="L146" s="1" t="n">
        <f aca="false">'WR LLB'!L51</f>
        <v>0</v>
      </c>
      <c r="M146" s="1" t="n">
        <f aca="false">'WR LLB'!M51</f>
        <v>0</v>
      </c>
    </row>
    <row r="147" customFormat="false" ht="26.85" hidden="false" customHeight="false" outlineLevel="0" collapsed="false">
      <c r="A147" s="6" t="str">
        <f aca="false">'BWL BSc u. BWL ÖD BSc'!A79</f>
        <v>20252</v>
      </c>
      <c r="B147" s="6" t="str">
        <f aca="false">'BWL BSc u. BWL ÖD BSc'!B79</f>
        <v>021/D43-2551 (III)</v>
      </c>
      <c r="C147" s="6" t="str">
        <f aca="false">'BWL BSc u. BWL ÖD BSc'!C79</f>
        <v>International Management</v>
      </c>
      <c r="D147" s="6" t="n">
        <f aca="false">'BWL BSc u. BWL ÖD BSc'!D79</f>
        <v>0</v>
      </c>
      <c r="E147" s="6" t="n">
        <f aca="false">'BWL BSc u. BWL ÖD BSc'!E79</f>
        <v>43</v>
      </c>
      <c r="F147" s="6" t="n">
        <f aca="false">'BWL BSc u. BWL ÖD BSc'!F79</f>
        <v>0</v>
      </c>
      <c r="G147" s="6" t="str">
        <f aca="false">'BWL BSc u. BWL ÖD BSc'!G79</f>
        <v>2-Mo</v>
      </c>
      <c r="H147" s="8" t="n">
        <f aca="false">'BWL BSc u. BWL ÖD BSc'!H79</f>
        <v>46048</v>
      </c>
      <c r="I147" s="6" t="str">
        <f aca="false">'BWL BSc u. BWL ÖD BSc'!I79</f>
        <v>07:45 - 09:15</v>
      </c>
      <c r="J147" s="6" t="str">
        <f aca="false">'BWL BSc u. BWL ÖD BSc'!J79</f>
        <v>Aula</v>
      </c>
      <c r="K147" s="9" t="str">
        <f aca="false">'BWL BSc u. BWL ÖD BSc'!K79</f>
        <v>Hattemer, Robert, Herr (LBA) - 2.000 SWS;Schrank, Randolf, Herr Prof. Dr. (Prof) - 2.000 SWS</v>
      </c>
      <c r="L147" s="1" t="n">
        <f aca="false">'WR LLB'!L52</f>
        <v>0</v>
      </c>
      <c r="M147" s="1" t="n">
        <f aca="false">'WR LLB'!M52</f>
        <v>0</v>
      </c>
    </row>
    <row r="148" customFormat="false" ht="13.8" hidden="false" customHeight="false" outlineLevel="0" collapsed="false">
      <c r="A148" s="6" t="str">
        <f aca="false">'WR LLB'!A4</f>
        <v>20252</v>
      </c>
      <c r="B148" s="6" t="str">
        <f aca="false">'WR LLB'!B4</f>
        <v>042B-102 (A)</v>
      </c>
      <c r="C148" s="6" t="str">
        <f aca="false">'WR LLB'!C4</f>
        <v>WPR II - Schuldrecht AT</v>
      </c>
      <c r="D148" s="7" t="str">
        <f aca="false">'WR LLB'!D4</f>
        <v>932-2102</v>
      </c>
      <c r="E148" s="6" t="n">
        <f aca="false">'WR LLB'!E4</f>
        <v>46</v>
      </c>
      <c r="F148" s="6" t="n">
        <f aca="false">'WR LLB'!F4</f>
        <v>0</v>
      </c>
      <c r="G148" s="6" t="str">
        <f aca="false">'WR LLB'!G4</f>
        <v>2-Mo</v>
      </c>
      <c r="H148" s="8" t="n">
        <f aca="false">'WR LLB'!H4</f>
        <v>46048</v>
      </c>
      <c r="I148" s="6" t="str">
        <f aca="false">'WR LLB'!I4</f>
        <v>09:30 - 11:30</v>
      </c>
      <c r="J148" s="6" t="str">
        <f aca="false">'WR LLB'!J4</f>
        <v>Aula</v>
      </c>
      <c r="K148" s="6" t="str">
        <f aca="false">'WR LLB'!K4</f>
        <v>Merschmöller, Lucas, Herr (LBA) - 4.000 SWS</v>
      </c>
      <c r="L148" s="1" t="n">
        <f aca="false">'WR LLB'!L53</f>
        <v>0</v>
      </c>
      <c r="M148" s="1" t="n">
        <f aca="false">'WR LLB'!M53</f>
        <v>0</v>
      </c>
    </row>
    <row r="149" customFormat="false" ht="13.8" hidden="false" customHeight="false" outlineLevel="0" collapsed="false">
      <c r="A149" s="6" t="str">
        <f aca="false">'WR LLB'!A5</f>
        <v>20252</v>
      </c>
      <c r="B149" s="6" t="str">
        <f aca="false">'WR LLB'!B5</f>
        <v>042B-102 (B)</v>
      </c>
      <c r="C149" s="6" t="str">
        <f aca="false">'WR LLB'!C5</f>
        <v>WPR II - Schuldrecht AT</v>
      </c>
      <c r="D149" s="6" t="n">
        <f aca="false">'WR LLB'!D5</f>
        <v>0</v>
      </c>
      <c r="E149" s="6" t="n">
        <f aca="false">'WR LLB'!E5</f>
        <v>43</v>
      </c>
      <c r="F149" s="6" t="n">
        <f aca="false">'WR LLB'!F5</f>
        <v>0</v>
      </c>
      <c r="G149" s="6" t="str">
        <f aca="false">'WR LLB'!G5</f>
        <v>2-Mo</v>
      </c>
      <c r="H149" s="8" t="n">
        <f aca="false">'WR LLB'!H5</f>
        <v>46048</v>
      </c>
      <c r="I149" s="6" t="str">
        <f aca="false">'WR LLB'!I5</f>
        <v>09:30 - 11:30</v>
      </c>
      <c r="J149" s="6" t="str">
        <f aca="false">'WR LLB'!J5</f>
        <v>Aula</v>
      </c>
      <c r="K149" s="6" t="str">
        <f aca="false">'WR LLB'!K5</f>
        <v>Burkard, Johannes, Herr Prof. Dr. (Prof) - 4.000 SWS</v>
      </c>
      <c r="L149" s="1" t="n">
        <f aca="false">'WR LLB'!L54</f>
        <v>0</v>
      </c>
      <c r="M149" s="1" t="n">
        <f aca="false">'WR LLB'!M54</f>
        <v>0</v>
      </c>
    </row>
    <row r="150" customFormat="false" ht="13.8" hidden="false" customHeight="false" outlineLevel="0" collapsed="false">
      <c r="A150" s="6" t="str">
        <f aca="false">'WR LLB'!A35</f>
        <v>20252</v>
      </c>
      <c r="B150" s="6" t="str">
        <f aca="false">'WR LLB'!B35</f>
        <v>932-2301 (A)</v>
      </c>
      <c r="C150" s="6" t="str">
        <f aca="false">'WR LLB'!C35</f>
        <v>WPR V - Sachenrecht- &amp; Kreditsicherungsrecht</v>
      </c>
      <c r="D150" s="7" t="str">
        <f aca="false">'WR LLB'!D35</f>
        <v>1301, 042B-401-P</v>
      </c>
      <c r="E150" s="6" t="n">
        <f aca="false">'WR LLB'!E35</f>
        <v>39</v>
      </c>
      <c r="F150" s="6" t="n">
        <f aca="false">'WR LLB'!F35</f>
        <v>0</v>
      </c>
      <c r="G150" s="6" t="str">
        <f aca="false">'WR LLB'!G35</f>
        <v>2-Mo</v>
      </c>
      <c r="H150" s="8" t="n">
        <f aca="false">'WR LLB'!H35</f>
        <v>46048</v>
      </c>
      <c r="I150" s="6" t="str">
        <f aca="false">'WR LLB'!I35</f>
        <v>16:00 - 18:00</v>
      </c>
      <c r="J150" s="6" t="str">
        <f aca="false">'WR LLB'!J35</f>
        <v>Aula</v>
      </c>
      <c r="K150" s="6" t="str">
        <f aca="false">'WR LLB'!K35</f>
        <v>Kober, Wolfgang, Herr Prof. Dr. (LBA) - 4.000 SWS</v>
      </c>
      <c r="L150" s="1" t="n">
        <f aca="false">'AI VZ u. AIOED BSc dual'!L2</f>
        <v>0</v>
      </c>
      <c r="M150" s="1" t="n">
        <f aca="false">'AI VZ u. AIOED BSc dual'!M2</f>
        <v>0</v>
      </c>
    </row>
    <row r="151" customFormat="false" ht="13.8" hidden="false" customHeight="false" outlineLevel="0" collapsed="false">
      <c r="A151" s="6" t="str">
        <f aca="false">'WR LLB'!A36</f>
        <v>20252</v>
      </c>
      <c r="B151" s="6" t="str">
        <f aca="false">'WR LLB'!B36</f>
        <v>932-2301 (B)</v>
      </c>
      <c r="C151" s="6" t="str">
        <f aca="false">'WR LLB'!C36</f>
        <v>WPR V - Sachenrecht- &amp; Kreditsicherungsrecht</v>
      </c>
      <c r="D151" s="7" t="n">
        <f aca="false">'WR LLB'!D36</f>
        <v>0</v>
      </c>
      <c r="E151" s="6" t="n">
        <f aca="false">'WR LLB'!E36</f>
        <v>32</v>
      </c>
      <c r="F151" s="6" t="n">
        <f aca="false">'WR LLB'!F36</f>
        <v>0</v>
      </c>
      <c r="G151" s="6" t="str">
        <f aca="false">'WR LLB'!G36</f>
        <v>2-Mo</v>
      </c>
      <c r="H151" s="8" t="n">
        <f aca="false">'WR LLB'!H36</f>
        <v>46048</v>
      </c>
      <c r="I151" s="6" t="str">
        <f aca="false">'WR LLB'!I36</f>
        <v>16:00 - 18:00</v>
      </c>
      <c r="J151" s="6" t="str">
        <f aca="false">'WR LLB'!J36</f>
        <v>Aula</v>
      </c>
      <c r="K151" s="6" t="str">
        <f aca="false">'WR LLB'!K36</f>
        <v>Friedrich, Matthias, Herr Dr. (LBA) - 4.000 SWS</v>
      </c>
      <c r="L151" s="1" t="n">
        <f aca="false">'AI VZ u. AIOED BSc dual'!L3</f>
        <v>0</v>
      </c>
      <c r="M151" s="1" t="n">
        <f aca="false">'AI VZ u. AIOED BSc dual'!M3</f>
        <v>0</v>
      </c>
    </row>
    <row r="152" customFormat="false" ht="14.15" hidden="false" customHeight="false" outlineLevel="0" collapsed="false">
      <c r="A152" s="6" t="str">
        <f aca="false">'WR LLB'!A66</f>
        <v>20252</v>
      </c>
      <c r="B152" s="6" t="str">
        <f aca="false">'WR LLB'!B66</f>
        <v>932-2603</v>
      </c>
      <c r="C152" s="6" t="str">
        <f aca="false">'WR LLB'!C66</f>
        <v>VWL</v>
      </c>
      <c r="D152" s="7" t="str">
        <f aca="false">'WR LLB'!D66</f>
        <v>1605, 042B-406-P</v>
      </c>
      <c r="E152" s="6" t="n">
        <f aca="false">'WR LLB'!E66</f>
        <v>18</v>
      </c>
      <c r="F152" s="6" t="n">
        <f aca="false">'WR LLB'!F66</f>
        <v>0</v>
      </c>
      <c r="G152" s="6" t="str">
        <f aca="false">'WR LLB'!G66</f>
        <v>2-Mo</v>
      </c>
      <c r="H152" s="8" t="n">
        <f aca="false">'WR LLB'!H66</f>
        <v>46048</v>
      </c>
      <c r="I152" s="6" t="str">
        <f aca="false">'WR LLB'!I66</f>
        <v>11:45 - 13:15</v>
      </c>
      <c r="J152" s="6" t="str">
        <f aca="false">'WR LLB'!J66</f>
        <v>c3.06</v>
      </c>
      <c r="K152" s="9" t="str">
        <f aca="false">'WR LLB'!K66</f>
        <v>Kulessa, Margareta, Frau Prof. Dr. (Prof) - 4.000 SWS</v>
      </c>
      <c r="L152" s="1" t="n">
        <f aca="false">'AI VZ u. AIOED BSc dual'!L4</f>
        <v>0</v>
      </c>
      <c r="M152" s="1" t="n">
        <f aca="false">'AI VZ u. AIOED BSc dual'!M4</f>
        <v>0</v>
      </c>
    </row>
    <row r="153" customFormat="false" ht="14.15" hidden="false" customHeight="false" outlineLevel="0" collapsed="false">
      <c r="A153" s="6" t="str">
        <f aca="false">'AI VZ u. AIOED BSc dual'!A14</f>
        <v>w</v>
      </c>
      <c r="B153" s="6" t="str">
        <f aca="false">'AI VZ u. AIOED BSc dual'!B14</f>
        <v>938/D04-2201 (A)</v>
      </c>
      <c r="C153" s="6" t="str">
        <f aca="false">'AI VZ u. AIOED BSc dual'!C14</f>
        <v>Programmieren II</v>
      </c>
      <c r="D153" s="6" t="n">
        <f aca="false">'AI VZ u. AIOED BSc dual'!D14</f>
        <v>1201</v>
      </c>
      <c r="E153" s="6" t="n">
        <f aca="false">'AI VZ u. AIOED BSc dual'!E14</f>
        <v>2</v>
      </c>
      <c r="F153" s="6" t="n">
        <f aca="false">'AI VZ u. AIOED BSc dual'!F14</f>
        <v>0</v>
      </c>
      <c r="G153" s="6" t="str">
        <f aca="false">'AI VZ u. AIOED BSc dual'!G14</f>
        <v>2-Mo</v>
      </c>
      <c r="H153" s="8" t="n">
        <f aca="false">'AI VZ u. AIOED BSc dual'!H14</f>
        <v>46048</v>
      </c>
      <c r="I153" s="6" t="str">
        <f aca="false">'AI VZ u. AIOED BSc dual'!I14</f>
        <v>16:00 - 17:30</v>
      </c>
      <c r="J153" s="6" t="str">
        <f aca="false">'AI VZ u. AIOED BSc dual'!J14</f>
        <v>a3.04</v>
      </c>
      <c r="K153" s="9" t="str">
        <f aca="false">'AI VZ u. AIOED BSc dual'!K14</f>
        <v>Nauroth, Markus, Herr Prof. Dr. (Prof) - 4.000 SWS</v>
      </c>
      <c r="L153" s="1" t="n">
        <f aca="false">'AI VZ u. AIOED BSc dual'!L5</f>
        <v>0</v>
      </c>
      <c r="M153" s="1" t="n">
        <f aca="false">'AI VZ u. AIOED BSc dual'!M5</f>
        <v>0</v>
      </c>
    </row>
    <row r="154" customFormat="false" ht="14.15" hidden="false" customHeight="false" outlineLevel="0" collapsed="false">
      <c r="A154" s="6" t="str">
        <f aca="false">'AI VZ u. AIOED BSc dual'!A15</f>
        <v>w</v>
      </c>
      <c r="B154" s="6" t="str">
        <f aca="false">'AI VZ u. AIOED BSc dual'!B15</f>
        <v>938/D04-2201 (B)</v>
      </c>
      <c r="C154" s="6" t="str">
        <f aca="false">'AI VZ u. AIOED BSc dual'!C15</f>
        <v>Programmieren II</v>
      </c>
      <c r="D154" s="6" t="n">
        <f aca="false">'AI VZ u. AIOED BSc dual'!D15</f>
        <v>0</v>
      </c>
      <c r="E154" s="6" t="n">
        <f aca="false">'AI VZ u. AIOED BSc dual'!E15</f>
        <v>4</v>
      </c>
      <c r="F154" s="6" t="n">
        <f aca="false">'AI VZ u. AIOED BSc dual'!F15</f>
        <v>0</v>
      </c>
      <c r="G154" s="6" t="str">
        <f aca="false">'AI VZ u. AIOED BSc dual'!G15</f>
        <v>2-Mo</v>
      </c>
      <c r="H154" s="8" t="n">
        <f aca="false">'AI VZ u. AIOED BSc dual'!H15</f>
        <v>46048</v>
      </c>
      <c r="I154" s="6" t="str">
        <f aca="false">'AI VZ u. AIOED BSc dual'!I15</f>
        <v>16:00 - 17:30</v>
      </c>
      <c r="J154" s="6" t="str">
        <f aca="false">'AI VZ u. AIOED BSc dual'!J15</f>
        <v>a3.04</v>
      </c>
      <c r="K154" s="9" t="str">
        <f aca="false">'AI VZ u. AIOED BSc dual'!K15</f>
        <v>Rostek, Annika, Frau (LBA) - 4.000 SWS</v>
      </c>
      <c r="L154" s="1" t="n">
        <f aca="false">'AI VZ u. AIOED BSc dual'!L6</f>
        <v>0</v>
      </c>
      <c r="M154" s="1" t="n">
        <f aca="false">'AI VZ u. AIOED BSc dual'!M6</f>
        <v>0</v>
      </c>
    </row>
    <row r="155" customFormat="false" ht="14.15" hidden="false" customHeight="false" outlineLevel="0" collapsed="false">
      <c r="A155" s="6" t="str">
        <f aca="false">'IB BSc'!A5</f>
        <v>20252</v>
      </c>
      <c r="B155" s="6" t="str">
        <f aca="false">'IB BSc'!B5</f>
        <v>964B-104</v>
      </c>
      <c r="C155" s="6" t="str">
        <f aca="false">'IB BSc'!C5</f>
        <v>Mathematics</v>
      </c>
      <c r="D155" s="6" t="n">
        <f aca="false">'IB BSc'!D5</f>
        <v>0</v>
      </c>
      <c r="E155" s="6" t="n">
        <f aca="false">'IB BSc'!E5</f>
        <v>19</v>
      </c>
      <c r="F155" s="6" t="n">
        <f aca="false">'IB BSc'!F5</f>
        <v>0</v>
      </c>
      <c r="G155" s="6" t="str">
        <f aca="false">'IB BSc'!G5</f>
        <v>2-Mo</v>
      </c>
      <c r="H155" s="8" t="n">
        <f aca="false">'IB BSc'!H5</f>
        <v>46048</v>
      </c>
      <c r="I155" s="6" t="str">
        <f aca="false">'IB BSc'!I5</f>
        <v>11:45 - 13:15</v>
      </c>
      <c r="J155" s="6" t="str">
        <f aca="false">'IB BSc'!J5</f>
        <v>c3.04</v>
      </c>
      <c r="K155" s="9" t="str">
        <f aca="false">'IB BSc'!K5</f>
        <v>Schlütter, Sebastian, Herr Prof. Dr. (Prof) - 4.000 SWS</v>
      </c>
      <c r="L155" s="1" t="n">
        <f aca="false">'AI VZ u. AIOED BSc dual'!L7</f>
        <v>0</v>
      </c>
      <c r="M155" s="1" t="n">
        <f aca="false">'AI VZ u. AIOED BSc dual'!M7</f>
        <v>0</v>
      </c>
    </row>
    <row r="156" customFormat="false" ht="26.85" hidden="false" customHeight="false" outlineLevel="0" collapsed="false">
      <c r="A156" s="6" t="str">
        <f aca="false">Optionen!A30</f>
        <v>w</v>
      </c>
      <c r="B156" s="6" t="str">
        <f aca="false">Optionen!B30</f>
        <v>000-17012</v>
      </c>
      <c r="C156" s="6" t="str">
        <f aca="false">Optionen!C30</f>
        <v>Internationales Steuerrecht</v>
      </c>
      <c r="D156" s="6" t="n">
        <f aca="false">Optionen!D30</f>
        <v>0</v>
      </c>
      <c r="E156" s="6" t="n">
        <f aca="false">Optionen!E30</f>
        <v>1</v>
      </c>
      <c r="F156" s="6" t="n">
        <f aca="false">Optionen!F30</f>
        <v>0</v>
      </c>
      <c r="G156" s="6" t="str">
        <f aca="false">Optionen!G30</f>
        <v>2-Mo</v>
      </c>
      <c r="H156" s="8" t="n">
        <f aca="false">Optionen!H30</f>
        <v>46048</v>
      </c>
      <c r="I156" s="6" t="str">
        <f aca="false">Optionen!I30</f>
        <v>18:15 - 20:15</v>
      </c>
      <c r="J156" s="6" t="str">
        <f aca="false">Optionen!J30</f>
        <v>a3.04</v>
      </c>
      <c r="K156" s="9" t="str">
        <f aca="false">Optionen!K30</f>
        <v>Schüller, Niklas, Herr (LBA) - 3.000 SWS;Kämpf, Hanno, Herr Prof. Dr. (Prof) - 1.000 SWS</v>
      </c>
      <c r="L156" s="1" t="n">
        <f aca="false">'AI VZ u. AIOED BSc dual'!L8</f>
        <v>0</v>
      </c>
      <c r="M156" s="1" t="n">
        <f aca="false">'AI VZ u. AIOED BSc dual'!M8</f>
        <v>0</v>
      </c>
    </row>
    <row r="157" customFormat="false" ht="14.15" hidden="false" customHeight="false" outlineLevel="0" collapsed="false">
      <c r="A157" s="6" t="str">
        <f aca="false">'Management MSc'!A9</f>
        <v>20252</v>
      </c>
      <c r="B157" s="6" t="str">
        <f aca="false">'Management MSc'!B9</f>
        <v>996-61251</v>
      </c>
      <c r="C157" s="9" t="str">
        <f aca="false">'Management MSc'!C9</f>
        <v>Strategic Management</v>
      </c>
      <c r="D157" s="6" t="n">
        <f aca="false">'Management MSc'!D9</f>
        <v>60251</v>
      </c>
      <c r="E157" s="6" t="n">
        <f aca="false">'Management MSc'!E9</f>
        <v>15</v>
      </c>
      <c r="F157" s="6" t="n">
        <f aca="false">'Management MSc'!F9</f>
        <v>0</v>
      </c>
      <c r="G157" s="6" t="str">
        <f aca="false">'Management MSc'!G9</f>
        <v>2-Mo</v>
      </c>
      <c r="H157" s="8" t="n">
        <f aca="false">'Management MSc'!H9</f>
        <v>46048</v>
      </c>
      <c r="I157" s="6" t="str">
        <f aca="false">'Management MSc'!I9</f>
        <v>16:00 - 17:30</v>
      </c>
      <c r="J157" s="6" t="str">
        <f aca="false">'Management MSc'!J9</f>
        <v>a3.08</v>
      </c>
      <c r="K157" s="9" t="str">
        <f aca="false">'Management MSc'!K9</f>
        <v>Timmer, Stéphane, Herr Prof. Dr. (LBA) - 4.000 SWS</v>
      </c>
      <c r="L157" s="1" t="n">
        <f aca="false">'AI VZ u. AIOED BSc dual'!L9</f>
        <v>0</v>
      </c>
      <c r="M157" s="1" t="n">
        <f aca="false">'AI VZ u. AIOED BSc dual'!M9</f>
        <v>0</v>
      </c>
    </row>
    <row r="158" customFormat="false" ht="14.15" hidden="false" customHeight="false" outlineLevel="0" collapsed="false">
      <c r="A158" s="6" t="str">
        <f aca="false">'BA MSc'!A4</f>
        <v>20252</v>
      </c>
      <c r="B158" s="6" t="str">
        <f aca="false">'BA MSc'!B4</f>
        <v>A23-70103</v>
      </c>
      <c r="C158" s="9" t="str">
        <f aca="false">'BA MSc'!C4</f>
        <v>Kosten- und Leistungsrechnung</v>
      </c>
      <c r="D158" s="6" t="n">
        <f aca="false">'BA MSc'!D4</f>
        <v>60103</v>
      </c>
      <c r="E158" s="6" t="n">
        <f aca="false">'BA MSc'!E4</f>
        <v>31</v>
      </c>
      <c r="F158" s="6" t="n">
        <f aca="false">'BA MSc'!F4</f>
        <v>0</v>
      </c>
      <c r="G158" s="6" t="str">
        <f aca="false">'BA MSc'!G4</f>
        <v>2-Mo</v>
      </c>
      <c r="H158" s="8" t="n">
        <f aca="false">'BA MSc'!H4</f>
        <v>46048</v>
      </c>
      <c r="I158" s="6" t="str">
        <f aca="false">'BA MSc'!I4</f>
        <v>18:15 - 20:15</v>
      </c>
      <c r="J158" s="6" t="str">
        <f aca="false">'BA MSc'!J4</f>
        <v>d0.03</v>
      </c>
      <c r="K158" s="9" t="str">
        <f aca="false">'BA MSc'!K4</f>
        <v>Lorenz, Karsten, Herr Prof. Dr. (Prof) - 4.000 SWS</v>
      </c>
      <c r="L158" s="1" t="n">
        <f aca="false">'AI VZ u. AIOED BSc dual'!L10</f>
        <v>0</v>
      </c>
      <c r="M158" s="1" t="n">
        <f aca="false">'AI VZ u. AIOED BSc dual'!M10</f>
        <v>0</v>
      </c>
    </row>
    <row r="159" customFormat="false" ht="14.15" hidden="false" customHeight="false" outlineLevel="0" collapsed="false">
      <c r="A159" s="6" t="str">
        <f aca="false">'BWL BSc u. BWL ÖD BSc'!A33</f>
        <v>20252</v>
      </c>
      <c r="B159" s="6" t="str">
        <f aca="false">'BWL BSc u. BWL ÖD BSc'!B33</f>
        <v>021/D43-3203 (A)</v>
      </c>
      <c r="C159" s="6" t="str">
        <f aca="false">'BWL BSc u. BWL ÖD BSc'!C33</f>
        <v>Recht II: Verträge &amp; Unternehmensrecht</v>
      </c>
      <c r="D159" s="7" t="n">
        <f aca="false">'BWL BSc u. BWL ÖD BSc'!D33</f>
        <v>2203</v>
      </c>
      <c r="E159" s="6" t="n">
        <f aca="false">'BWL BSc u. BWL ÖD BSc'!E33</f>
        <v>27</v>
      </c>
      <c r="F159" s="6" t="n">
        <f aca="false">'BWL BSc u. BWL ÖD BSc'!F33</f>
        <v>0</v>
      </c>
      <c r="G159" s="6" t="str">
        <f aca="false">'BWL BSc u. BWL ÖD BSc'!G33</f>
        <v>2-Di</v>
      </c>
      <c r="H159" s="8" t="n">
        <f aca="false">'BWL BSc u. BWL ÖD BSc'!H33</f>
        <v>46049</v>
      </c>
      <c r="I159" s="6" t="str">
        <f aca="false">'BWL BSc u. BWL ÖD BSc'!I33</f>
        <v>09:30 - 11:00</v>
      </c>
      <c r="J159" s="6" t="str">
        <f aca="false">'BWL BSc u. BWL ÖD BSc'!J33</f>
        <v>Aula</v>
      </c>
      <c r="K159" s="9" t="str">
        <f aca="false">'BWL BSc u. BWL ÖD BSc'!K33</f>
        <v>Will, Stefanie, Frau Dr. (LBA) - 4.000 SWS</v>
      </c>
      <c r="L159" s="1" t="n">
        <f aca="false">'AI VZ u. AIOED BSc dual'!L11</f>
        <v>0</v>
      </c>
      <c r="M159" s="1" t="n">
        <f aca="false">'AI VZ u. AIOED BSc dual'!M11</f>
        <v>0</v>
      </c>
    </row>
    <row r="160" customFormat="false" ht="14.15" hidden="false" customHeight="false" outlineLevel="0" collapsed="false">
      <c r="A160" s="6" t="str">
        <f aca="false">'BWL BSc u. BWL ÖD BSc'!A34</f>
        <v>20252</v>
      </c>
      <c r="B160" s="6" t="str">
        <f aca="false">'BWL BSc u. BWL ÖD BSc'!B34</f>
        <v>021-3203 (B)</v>
      </c>
      <c r="C160" s="6" t="str">
        <f aca="false">'BWL BSc u. BWL ÖD BSc'!C34</f>
        <v>Recht II: Verträge &amp; Unternehmensrecht</v>
      </c>
      <c r="D160" s="7" t="n">
        <f aca="false">'BWL BSc u. BWL ÖD BSc'!D34</f>
        <v>0</v>
      </c>
      <c r="E160" s="6" t="n">
        <f aca="false">'BWL BSc u. BWL ÖD BSc'!E34</f>
        <v>26</v>
      </c>
      <c r="F160" s="6" t="n">
        <f aca="false">'BWL BSc u. BWL ÖD BSc'!F34</f>
        <v>0</v>
      </c>
      <c r="G160" s="6" t="str">
        <f aca="false">'BWL BSc u. BWL ÖD BSc'!G34</f>
        <v>2-Di</v>
      </c>
      <c r="H160" s="8" t="n">
        <f aca="false">'BWL BSc u. BWL ÖD BSc'!H34</f>
        <v>46049</v>
      </c>
      <c r="I160" s="6" t="str">
        <f aca="false">'BWL BSc u. BWL ÖD BSc'!I34</f>
        <v>09:30 - 11:00</v>
      </c>
      <c r="J160" s="6" t="str">
        <f aca="false">'BWL BSc u. BWL ÖD BSc'!J34</f>
        <v>Aula</v>
      </c>
      <c r="K160" s="9" t="str">
        <f aca="false">'BWL BSc u. BWL ÖD BSc'!K34</f>
        <v>Grim, Rainer, Herr (LBA) - 4.000 SWS</v>
      </c>
      <c r="L160" s="1" t="n">
        <f aca="false">'AI VZ u. AIOED BSc dual'!L12</f>
        <v>0</v>
      </c>
      <c r="M160" s="1" t="n">
        <f aca="false">'AI VZ u. AIOED BSc dual'!M12</f>
        <v>0</v>
      </c>
    </row>
    <row r="161" customFormat="false" ht="14.15" hidden="false" customHeight="false" outlineLevel="0" collapsed="false">
      <c r="A161" s="6" t="str">
        <f aca="false">'BWL BSc u. BWL ÖD BSc'!A35</f>
        <v>20252</v>
      </c>
      <c r="B161" s="6" t="str">
        <f aca="false">'BWL BSc u. BWL ÖD BSc'!B35</f>
        <v>021-3203 (C)</v>
      </c>
      <c r="C161" s="6" t="str">
        <f aca="false">'BWL BSc u. BWL ÖD BSc'!C35</f>
        <v>Recht II: Verträge &amp; Unternehmensrecht</v>
      </c>
      <c r="D161" s="7" t="n">
        <f aca="false">'BWL BSc u. BWL ÖD BSc'!D35</f>
        <v>0</v>
      </c>
      <c r="E161" s="6" t="n">
        <f aca="false">'BWL BSc u. BWL ÖD BSc'!E35</f>
        <v>25</v>
      </c>
      <c r="F161" s="6" t="n">
        <f aca="false">'BWL BSc u. BWL ÖD BSc'!F35</f>
        <v>0</v>
      </c>
      <c r="G161" s="6" t="str">
        <f aca="false">'BWL BSc u. BWL ÖD BSc'!G35</f>
        <v>2-Di</v>
      </c>
      <c r="H161" s="8" t="n">
        <f aca="false">'BWL BSc u. BWL ÖD BSc'!H35</f>
        <v>46049</v>
      </c>
      <c r="I161" s="6" t="str">
        <f aca="false">'BWL BSc u. BWL ÖD BSc'!I35</f>
        <v>09:30 - 11:00</v>
      </c>
      <c r="J161" s="6" t="str">
        <f aca="false">'BWL BSc u. BWL ÖD BSc'!J35</f>
        <v>Aula</v>
      </c>
      <c r="K161" s="9" t="str">
        <f aca="false">'BWL BSc u. BWL ÖD BSc'!K35</f>
        <v>Dippel, Jan-Eric, Herr (LBA) - 4.000 SWS</v>
      </c>
      <c r="L161" s="1" t="n">
        <f aca="false">'AI VZ u. AIOED BSc dual'!L13</f>
        <v>0</v>
      </c>
      <c r="M161" s="1" t="n">
        <f aca="false">'AI VZ u. AIOED BSc dual'!M13</f>
        <v>0</v>
      </c>
    </row>
    <row r="162" customFormat="false" ht="14.15" hidden="false" customHeight="false" outlineLevel="0" collapsed="false">
      <c r="A162" s="6" t="str">
        <f aca="false">'BWL BSc u. BWL ÖD BSc'!A36</f>
        <v>20252</v>
      </c>
      <c r="B162" s="6" t="str">
        <f aca="false">'BWL BSc u. BWL ÖD BSc'!B36</f>
        <v>021-3203/PAN</v>
      </c>
      <c r="C162" s="6" t="str">
        <f aca="false">'BWL BSc u. BWL ÖD BSc'!C36</f>
        <v>Recht II: Verträge &amp; Unternehmensrecht (PAN)</v>
      </c>
      <c r="D162" s="7" t="n">
        <f aca="false">'BWL BSc u. BWL ÖD BSc'!D36</f>
        <v>0</v>
      </c>
      <c r="E162" s="6" t="n">
        <f aca="false">'BWL BSc u. BWL ÖD BSc'!E36</f>
        <v>39</v>
      </c>
      <c r="F162" s="6" t="n">
        <f aca="false">'BWL BSc u. BWL ÖD BSc'!F36</f>
        <v>0</v>
      </c>
      <c r="G162" s="6" t="str">
        <f aca="false">'BWL BSc u. BWL ÖD BSc'!G36</f>
        <v>2-Di</v>
      </c>
      <c r="H162" s="8" t="n">
        <f aca="false">'BWL BSc u. BWL ÖD BSc'!H36</f>
        <v>46049</v>
      </c>
      <c r="I162" s="6" t="str">
        <f aca="false">'BWL BSc u. BWL ÖD BSc'!I36</f>
        <v>09:30 - 11:00</v>
      </c>
      <c r="J162" s="6" t="str">
        <f aca="false">'BWL BSc u. BWL ÖD BSc'!J36</f>
        <v>Aula</v>
      </c>
      <c r="K162" s="9" t="str">
        <f aca="false">'BWL BSc u. BWL ÖD BSc'!K36</f>
        <v>Reitz, Markus, Herr Prof. Dr. (Prof) - 4.000 SWS</v>
      </c>
      <c r="L162" s="1" t="n">
        <f aca="false">'AI VZ u. AIOED BSc dual'!L14</f>
        <v>0</v>
      </c>
      <c r="M162" s="1" t="n">
        <f aca="false">'AI VZ u. AIOED BSc dual'!M14</f>
        <v>0</v>
      </c>
    </row>
    <row r="163" customFormat="false" ht="14.15" hidden="false" customHeight="false" outlineLevel="0" collapsed="false">
      <c r="A163" s="6" t="str">
        <f aca="false">'BWL BSc u. BWL ÖD BSc'!A74</f>
        <v>20252</v>
      </c>
      <c r="B163" s="6" t="str">
        <f aca="false">'BWL BSc u. BWL ÖD BSc'!B74</f>
        <v>021/D43-3453 (I)</v>
      </c>
      <c r="C163" s="6" t="str">
        <f aca="false">'BWL BSc u. BWL ÖD BSc'!C74</f>
        <v>Strategic Management</v>
      </c>
      <c r="D163" s="6" t="n">
        <f aca="false">'BWL BSc u. BWL ÖD BSc'!D74</f>
        <v>2453</v>
      </c>
      <c r="E163" s="6" t="n">
        <f aca="false">'BWL BSc u. BWL ÖD BSc'!E74</f>
        <v>34</v>
      </c>
      <c r="F163" s="6" t="n">
        <f aca="false">'BWL BSc u. BWL ÖD BSc'!F74</f>
        <v>0</v>
      </c>
      <c r="G163" s="6" t="str">
        <f aca="false">'BWL BSc u. BWL ÖD BSc'!G74</f>
        <v>2-Di</v>
      </c>
      <c r="H163" s="8" t="n">
        <f aca="false">'BWL BSc u. BWL ÖD BSc'!H74</f>
        <v>46049</v>
      </c>
      <c r="I163" s="6" t="str">
        <f aca="false">'BWL BSc u. BWL ÖD BSc'!I74</f>
        <v>07:45 - 09:15</v>
      </c>
      <c r="J163" s="6" t="str">
        <f aca="false">'BWL BSc u. BWL ÖD BSc'!J74</f>
        <v>Aula</v>
      </c>
      <c r="K163" s="9" t="str">
        <f aca="false">'BWL BSc u. BWL ÖD BSc'!K74</f>
        <v>Hattemer, Robert, Herr (LBA) - 4.000 SWS</v>
      </c>
      <c r="L163" s="1" t="n">
        <f aca="false">'AI VZ u. AIOED BSc dual'!L15</f>
        <v>0</v>
      </c>
      <c r="M163" s="1" t="n">
        <f aca="false">'AI VZ u. AIOED BSc dual'!M15</f>
        <v>0</v>
      </c>
    </row>
    <row r="164" customFormat="false" ht="14.15" hidden="false" customHeight="false" outlineLevel="0" collapsed="false">
      <c r="A164" s="6" t="str">
        <f aca="false">'BWL BSc u. BWL ÖD BSc'!A75</f>
        <v>20252</v>
      </c>
      <c r="B164" s="6" t="str">
        <f aca="false">'BWL BSc u. BWL ÖD BSc'!B75</f>
        <v>021/D43-3453 (II)</v>
      </c>
      <c r="C164" s="6" t="str">
        <f aca="false">'BWL BSc u. BWL ÖD BSc'!C75</f>
        <v>Strategic Management</v>
      </c>
      <c r="D164" s="6" t="n">
        <f aca="false">'BWL BSc u. BWL ÖD BSc'!D75</f>
        <v>0</v>
      </c>
      <c r="E164" s="6" t="n">
        <f aca="false">'BWL BSc u. BWL ÖD BSc'!E75</f>
        <v>44</v>
      </c>
      <c r="F164" s="28" t="n">
        <f aca="false">'BWL BSc u. BWL ÖD BSc'!F75</f>
        <v>0.5</v>
      </c>
      <c r="G164" s="6" t="str">
        <f aca="false">'BWL BSc u. BWL ÖD BSc'!G75</f>
        <v>2-Di</v>
      </c>
      <c r="H164" s="8" t="n">
        <f aca="false">'BWL BSc u. BWL ÖD BSc'!H75</f>
        <v>46049</v>
      </c>
      <c r="I164" s="6" t="str">
        <f aca="false">'BWL BSc u. BWL ÖD BSc'!I75</f>
        <v>07:45 - 09:15</v>
      </c>
      <c r="J164" s="6" t="str">
        <f aca="false">'BWL BSc u. BWL ÖD BSc'!J75</f>
        <v>Aula, d0.03</v>
      </c>
      <c r="K164" s="9" t="str">
        <f aca="false">'BWL BSc u. BWL ÖD BSc'!K75</f>
        <v>Hattemer, Robert, Herr (LBA) - 4.000 SWS</v>
      </c>
      <c r="L164" s="1" t="n">
        <f aca="false">'AI VZ u. AIOED BSc dual'!L16</f>
        <v>0</v>
      </c>
      <c r="M164" s="1" t="n">
        <f aca="false">'AI VZ u. AIOED BSc dual'!M16</f>
        <v>0</v>
      </c>
    </row>
    <row r="165" customFormat="false" ht="14.15" hidden="false" customHeight="false" outlineLevel="0" collapsed="false">
      <c r="A165" s="6" t="str">
        <f aca="false">'BWL BSc u. BWL ÖD BSc'!A76</f>
        <v>20252</v>
      </c>
      <c r="B165" s="6" t="str">
        <f aca="false">'BWL BSc u. BWL ÖD BSc'!B76</f>
        <v>021/D43-3453 (III)</v>
      </c>
      <c r="C165" s="6" t="str">
        <f aca="false">'BWL BSc u. BWL ÖD BSc'!C76</f>
        <v>Strategic Management</v>
      </c>
      <c r="D165" s="6" t="n">
        <f aca="false">'BWL BSc u. BWL ÖD BSc'!D76</f>
        <v>0</v>
      </c>
      <c r="E165" s="6" t="n">
        <f aca="false">'BWL BSc u. BWL ÖD BSc'!E76</f>
        <v>48</v>
      </c>
      <c r="F165" s="6" t="n">
        <f aca="false">'BWL BSc u. BWL ÖD BSc'!F76</f>
        <v>0</v>
      </c>
      <c r="G165" s="6" t="str">
        <f aca="false">'BWL BSc u. BWL ÖD BSc'!G76</f>
        <v>2-Di</v>
      </c>
      <c r="H165" s="8" t="n">
        <f aca="false">'BWL BSc u. BWL ÖD BSc'!H76</f>
        <v>46049</v>
      </c>
      <c r="I165" s="6" t="str">
        <f aca="false">'BWL BSc u. BWL ÖD BSc'!I76</f>
        <v>07:45 - 09:15</v>
      </c>
      <c r="J165" s="6" t="str">
        <f aca="false">'BWL BSc u. BWL ÖD BSc'!J76</f>
        <v>Aula, d0.03</v>
      </c>
      <c r="K165" s="9" t="str">
        <f aca="false">'BWL BSc u. BWL ÖD BSc'!K76</f>
        <v>Schrank, Randolf, Herr Prof. Dr. (Prof) - 4.000 SWS</v>
      </c>
      <c r="L165" s="1" t="n">
        <f aca="false">'AI VZ u. AIOED BSc dual'!L17</f>
        <v>0</v>
      </c>
      <c r="M165" s="1" t="n">
        <f aca="false">'AI VZ u. AIOED BSc dual'!M17</f>
        <v>0</v>
      </c>
    </row>
    <row r="166" customFormat="false" ht="13.8" hidden="false" customHeight="false" outlineLevel="0" collapsed="false">
      <c r="A166" s="6" t="str">
        <f aca="false">'WR LLB'!A34</f>
        <v>20252</v>
      </c>
      <c r="B166" s="6" t="str">
        <f aca="false">'WR LLB'!B34</f>
        <v>932-2214</v>
      </c>
      <c r="C166" s="6" t="str">
        <f aca="false">'WR LLB'!C34</f>
        <v>Investition &amp; Finanzierung</v>
      </c>
      <c r="D166" s="7" t="str">
        <f aca="false">'WR LLB'!D34</f>
        <v>042B-105-P</v>
      </c>
      <c r="E166" s="6" t="n">
        <f aca="false">'WR LLB'!E34</f>
        <v>27</v>
      </c>
      <c r="F166" s="6" t="str">
        <f aca="false">'WR LLB'!F34</f>
        <v>2 Stunden</v>
      </c>
      <c r="G166" s="6" t="str">
        <f aca="false">'WR LLB'!G34</f>
        <v>2-Di</v>
      </c>
      <c r="H166" s="8" t="n">
        <f aca="false">'WR LLB'!H34</f>
        <v>46049</v>
      </c>
      <c r="I166" s="6" t="str">
        <f aca="false">'WR LLB'!I34</f>
        <v>11:45 - 13:15</v>
      </c>
      <c r="J166" s="6" t="str">
        <f aca="false">'WR LLB'!J34</f>
        <v>c3.04, c3.08, A0.12</v>
      </c>
      <c r="K166" s="6" t="str">
        <f aca="false">'WR LLB'!K34</f>
        <v>Drozd, Nataliia, Frau (LBA) - 2.500 SWS</v>
      </c>
      <c r="L166" s="1" t="n">
        <f aca="false">'AI VZ u. AIOED BSc dual'!L18</f>
        <v>0</v>
      </c>
      <c r="M166" s="1" t="n">
        <f aca="false">'AI VZ u. AIOED BSc dual'!M18</f>
        <v>0</v>
      </c>
    </row>
    <row r="167" customFormat="false" ht="14.15" hidden="false" customHeight="false" outlineLevel="0" collapsed="false">
      <c r="A167" s="6" t="str">
        <f aca="false">'WR LLB'!A52</f>
        <v>20252</v>
      </c>
      <c r="B167" s="6" t="str">
        <f aca="false">'WR LLB'!B52</f>
        <v>932-2456</v>
      </c>
      <c r="C167" s="6" t="str">
        <f aca="false">'WR LLB'!C52</f>
        <v>Strategic Management</v>
      </c>
      <c r="D167" s="7" t="str">
        <f aca="false">'WR LLB'!D52</f>
        <v>1606; 042B-306-PE</v>
      </c>
      <c r="E167" s="6" t="n">
        <f aca="false">'WR LLB'!E52</f>
        <v>21</v>
      </c>
      <c r="F167" s="6" t="n">
        <f aca="false">'WR LLB'!F52</f>
        <v>0</v>
      </c>
      <c r="G167" s="6" t="str">
        <f aca="false">'WR LLB'!G52</f>
        <v>2-Di</v>
      </c>
      <c r="H167" s="8" t="n">
        <f aca="false">'WR LLB'!H52</f>
        <v>46049</v>
      </c>
      <c r="I167" s="6" t="str">
        <f aca="false">'WR LLB'!I52</f>
        <v>07:45 - 09:15</v>
      </c>
      <c r="J167" s="6" t="str">
        <f aca="false">'WR LLB'!J52</f>
        <v>b1.01/b1.03</v>
      </c>
      <c r="K167" s="9" t="str">
        <f aca="false">'WR LLB'!K52</f>
        <v>Rosinus, Anna, Frau Prof. Dr. (Prof) - 4.000 SWS</v>
      </c>
      <c r="L167" s="1" t="n">
        <f aca="false">'AI VZ u. AIOED BSc dual'!L19</f>
        <v>0</v>
      </c>
      <c r="M167" s="1" t="n">
        <f aca="false">'AI VZ u. AIOED BSc dual'!M19</f>
        <v>0</v>
      </c>
    </row>
    <row r="168" customFormat="false" ht="14.15" hidden="false" customHeight="false" outlineLevel="0" collapsed="false">
      <c r="A168" s="6" t="str">
        <f aca="false">'AI VZ u. AIOED BSc dual'!A12</f>
        <v>20252</v>
      </c>
      <c r="B168" s="6" t="str">
        <f aca="false">'AI VZ u. AIOED BSc dual'!B12</f>
        <v>938/D04-2156 (A)</v>
      </c>
      <c r="C168" s="6" t="str">
        <f aca="false">'AI VZ u. AIOED BSc dual'!C12</f>
        <v>Englisch</v>
      </c>
      <c r="D168" s="6" t="n">
        <f aca="false">'AI VZ u. AIOED BSc dual'!D12</f>
        <v>1106</v>
      </c>
      <c r="E168" s="6" t="n">
        <f aca="false">'AI VZ u. AIOED BSc dual'!E12</f>
        <v>38</v>
      </c>
      <c r="F168" s="6" t="n">
        <f aca="false">'AI VZ u. AIOED BSc dual'!F12</f>
        <v>0</v>
      </c>
      <c r="G168" s="6" t="str">
        <f aca="false">'AI VZ u. AIOED BSc dual'!G12</f>
        <v>2-Di</v>
      </c>
      <c r="H168" s="8" t="n">
        <f aca="false">'AI VZ u. AIOED BSc dual'!H12</f>
        <v>46049</v>
      </c>
      <c r="I168" s="6" t="str">
        <f aca="false">'AI VZ u. AIOED BSc dual'!I12</f>
        <v>11:45 - 13:15</v>
      </c>
      <c r="J168" s="6" t="str">
        <f aca="false">'AI VZ u. AIOED BSc dual'!J12</f>
        <v>Aula</v>
      </c>
      <c r="K168" s="9" t="str">
        <f aca="false">'AI VZ u. AIOED BSc dual'!K12</f>
        <v>Schlemmer-Bockius, Dagmar, Frau (LKfbA) - 4.000 SWS</v>
      </c>
      <c r="L168" s="1" t="n">
        <f aca="false">'AI VZ u. AIOED BSc dual'!L20</f>
        <v>0</v>
      </c>
      <c r="M168" s="1" t="n">
        <f aca="false">'AI VZ u. AIOED BSc dual'!M20</f>
        <v>0</v>
      </c>
    </row>
    <row r="169" customFormat="false" ht="14.15" hidden="false" customHeight="false" outlineLevel="0" collapsed="false">
      <c r="A169" s="6" t="str">
        <f aca="false">'AI VZ u. AIOED BSc dual'!A13</f>
        <v>20252</v>
      </c>
      <c r="B169" s="6" t="str">
        <f aca="false">'AI VZ u. AIOED BSc dual'!B13</f>
        <v>938/D04-2156 (B)</v>
      </c>
      <c r="C169" s="6" t="str">
        <f aca="false">'AI VZ u. AIOED BSc dual'!C13</f>
        <v>Englisch</v>
      </c>
      <c r="D169" s="6" t="n">
        <f aca="false">'AI VZ u. AIOED BSc dual'!D13</f>
        <v>0</v>
      </c>
      <c r="E169" s="6" t="n">
        <f aca="false">'AI VZ u. AIOED BSc dual'!E13</f>
        <v>37</v>
      </c>
      <c r="F169" s="6" t="n">
        <f aca="false">'AI VZ u. AIOED BSc dual'!F13</f>
        <v>0</v>
      </c>
      <c r="G169" s="6" t="str">
        <f aca="false">'AI VZ u. AIOED BSc dual'!G13</f>
        <v>2-Di</v>
      </c>
      <c r="H169" s="8" t="n">
        <f aca="false">'AI VZ u. AIOED BSc dual'!H13</f>
        <v>46049</v>
      </c>
      <c r="I169" s="6" t="str">
        <f aca="false">'AI VZ u. AIOED BSc dual'!I13</f>
        <v>11:45 - 13:15</v>
      </c>
      <c r="J169" s="6" t="str">
        <f aca="false">'AI VZ u. AIOED BSc dual'!J13</f>
        <v>Aula</v>
      </c>
      <c r="K169" s="9" t="str">
        <f aca="false">'AI VZ u. AIOED BSc dual'!K13</f>
        <v>Thompson, Liam, Herr (LKfbA) - 4.000 SWS</v>
      </c>
      <c r="L169" s="1" t="n">
        <f aca="false">'AI VZ u. AIOED BSc dual'!L21</f>
        <v>0</v>
      </c>
      <c r="M169" s="1" t="n">
        <f aca="false">'AI VZ u. AIOED BSc dual'!M21</f>
        <v>0</v>
      </c>
    </row>
    <row r="170" customFormat="false" ht="14.15" hidden="false" customHeight="false" outlineLevel="0" collapsed="false">
      <c r="A170" s="6" t="str">
        <f aca="false">'AI VZ u. AIOED BSc dual'!A28</f>
        <v>20252</v>
      </c>
      <c r="B170" s="6" t="str">
        <f aca="false">'AI VZ u. AIOED BSc dual'!B28</f>
        <v>938/D04-2303 (A)</v>
      </c>
      <c r="C170" s="6" t="str">
        <f aca="false">'AI VZ u. AIOED BSc dual'!C28</f>
        <v>Intelligente Informationssysteme</v>
      </c>
      <c r="D170" s="6" t="n">
        <f aca="false">'AI VZ u. AIOED BSc dual'!D28</f>
        <v>1303</v>
      </c>
      <c r="E170" s="6" t="n">
        <f aca="false">'AI VZ u. AIOED BSc dual'!E28</f>
        <v>35</v>
      </c>
      <c r="F170" s="6" t="n">
        <f aca="false">'AI VZ u. AIOED BSc dual'!F28</f>
        <v>0</v>
      </c>
      <c r="G170" s="6" t="str">
        <f aca="false">'AI VZ u. AIOED BSc dual'!G28</f>
        <v>2-Di</v>
      </c>
      <c r="H170" s="8" t="n">
        <f aca="false">'AI VZ u. AIOED BSc dual'!H28</f>
        <v>46049</v>
      </c>
      <c r="I170" s="6" t="str">
        <f aca="false">'AI VZ u. AIOED BSc dual'!I28</f>
        <v>11:45 - 13:15</v>
      </c>
      <c r="J170" s="6" t="str">
        <f aca="false">'AI VZ u. AIOED BSc dual'!J28</f>
        <v>d0.01</v>
      </c>
      <c r="K170" s="9" t="str">
        <f aca="false">'AI VZ u. AIOED BSc dual'!K28</f>
        <v>Kordt, Pascal, Herr Prof. Dr. (Prof) - SWS</v>
      </c>
      <c r="L170" s="1" t="n">
        <f aca="false">'AI VZ u. AIOED BSc dual'!L22</f>
        <v>0</v>
      </c>
      <c r="M170" s="1" t="n">
        <f aca="false">'AI VZ u. AIOED BSc dual'!M22</f>
        <v>0</v>
      </c>
    </row>
    <row r="171" customFormat="false" ht="14.15" hidden="false" customHeight="false" outlineLevel="0" collapsed="false">
      <c r="A171" s="6" t="str">
        <f aca="false">'AI VZ u. AIOED BSc dual'!A29</f>
        <v>20252</v>
      </c>
      <c r="B171" s="6" t="str">
        <f aca="false">'AI VZ u. AIOED BSc dual'!B29</f>
        <v>938/D04-2303 (B)</v>
      </c>
      <c r="C171" s="6" t="str">
        <f aca="false">'AI VZ u. AIOED BSc dual'!C29</f>
        <v>Intelligente Informationssysteme</v>
      </c>
      <c r="D171" s="6" t="n">
        <f aca="false">'AI VZ u. AIOED BSc dual'!D29</f>
        <v>0</v>
      </c>
      <c r="E171" s="6" t="n">
        <f aca="false">'AI VZ u. AIOED BSc dual'!E29</f>
        <v>25</v>
      </c>
      <c r="F171" s="6" t="n">
        <f aca="false">'AI VZ u. AIOED BSc dual'!F29</f>
        <v>0</v>
      </c>
      <c r="G171" s="6" t="str">
        <f aca="false">'AI VZ u. AIOED BSc dual'!G29</f>
        <v>2-Di</v>
      </c>
      <c r="H171" s="8" t="n">
        <f aca="false">'AI VZ u. AIOED BSc dual'!H29</f>
        <v>46049</v>
      </c>
      <c r="I171" s="6" t="str">
        <f aca="false">'AI VZ u. AIOED BSc dual'!I29</f>
        <v>11:45 - 13:15</v>
      </c>
      <c r="J171" s="6" t="str">
        <f aca="false">'AI VZ u. AIOED BSc dual'!J29</f>
        <v>d0.03</v>
      </c>
      <c r="K171" s="9" t="str">
        <f aca="false">'AI VZ u. AIOED BSc dual'!K29</f>
        <v>Kordt, Pascal, Herr Prof. Dr. (Prof) - SWS</v>
      </c>
      <c r="L171" s="1" t="n">
        <f aca="false">'AI VZ u. AIOED BSc dual'!L23</f>
        <v>0</v>
      </c>
      <c r="M171" s="1" t="n">
        <f aca="false">'AI VZ u. AIOED BSc dual'!M23</f>
        <v>0</v>
      </c>
    </row>
    <row r="172" customFormat="false" ht="14.15" hidden="false" customHeight="false" outlineLevel="0" collapsed="false">
      <c r="A172" s="6" t="str">
        <f aca="false">'DIM VZ u. dual BSc'!A2</f>
        <v>20252</v>
      </c>
      <c r="B172" s="6" t="str">
        <f aca="false">'DIM VZ u. dual BSc'!B2</f>
        <v>D01/D08-2101 (A)</v>
      </c>
      <c r="C172" s="6" t="str">
        <f aca="false">'DIM VZ u. dual BSc'!C2</f>
        <v>Grundlagen Mediengestaltung (50% Klausur, 50% Einzelarbeit)</v>
      </c>
      <c r="D172" s="6" t="n">
        <f aca="false">'DIM VZ u. dual BSc'!D2</f>
        <v>0</v>
      </c>
      <c r="E172" s="6" t="n">
        <f aca="false">'DIM VZ u. dual BSc'!E2</f>
        <v>35</v>
      </c>
      <c r="F172" s="6" t="n">
        <f aca="false">'DIM VZ u. dual BSc'!F2</f>
        <v>0</v>
      </c>
      <c r="G172" s="6" t="str">
        <f aca="false">'DIM VZ u. dual BSc'!G2</f>
        <v>2-Di</v>
      </c>
      <c r="H172" s="8" t="n">
        <f aca="false">'DIM VZ u. dual BSc'!H2</f>
        <v>46049</v>
      </c>
      <c r="I172" s="6" t="str">
        <f aca="false">'DIM VZ u. dual BSc'!I2</f>
        <v>08:15 - 09:00</v>
      </c>
      <c r="J172" s="6" t="str">
        <f aca="false">'DIM VZ u. dual BSc'!J2</f>
        <v>d0.01</v>
      </c>
      <c r="K172" s="9" t="str">
        <f aca="false">'DIM VZ u. dual BSc'!K2</f>
        <v>Wenner, Michaela, Frau (LBA) - 3.000 SWS</v>
      </c>
      <c r="L172" s="1" t="n">
        <f aca="false">'AI VZ u. AIOED BSc dual'!L24</f>
        <v>0</v>
      </c>
      <c r="M172" s="1" t="n">
        <f aca="false">'AI VZ u. AIOED BSc dual'!M24</f>
        <v>0</v>
      </c>
    </row>
    <row r="173" customFormat="false" ht="14.15" hidden="false" customHeight="false" outlineLevel="0" collapsed="false">
      <c r="A173" s="6" t="str">
        <f aca="false">'DIM VZ u. dual BSc'!A3</f>
        <v>20252</v>
      </c>
      <c r="B173" s="6" t="str">
        <f aca="false">'DIM VZ u. dual BSc'!B3</f>
        <v>D01/D08-2101 (B)</v>
      </c>
      <c r="C173" s="6" t="str">
        <f aca="false">'DIM VZ u. dual BSc'!C3</f>
        <v>Grundlagen Mediengestaltung</v>
      </c>
      <c r="D173" s="6" t="n">
        <f aca="false">'DIM VZ u. dual BSc'!D3</f>
        <v>0</v>
      </c>
      <c r="E173" s="6" t="n">
        <f aca="false">'DIM VZ u. dual BSc'!E3</f>
        <v>0</v>
      </c>
      <c r="F173" s="6" t="n">
        <f aca="false">'DIM VZ u. dual BSc'!F3</f>
        <v>0</v>
      </c>
      <c r="G173" s="6" t="str">
        <f aca="false">'DIM VZ u. dual BSc'!G3</f>
        <v>2-Di</v>
      </c>
      <c r="H173" s="8" t="n">
        <f aca="false">'DIM VZ u. dual BSc'!H3</f>
        <v>46049</v>
      </c>
      <c r="I173" s="6" t="str">
        <f aca="false">'DIM VZ u. dual BSc'!I3</f>
        <v>08:15 - 09:45</v>
      </c>
      <c r="J173" s="8" t="n">
        <f aca="false">'DIM VZ u. dual BSc'!J3</f>
        <v>0</v>
      </c>
      <c r="K173" s="9" t="str">
        <f aca="false">'DIM VZ u. dual BSc'!K3</f>
        <v>N.N.</v>
      </c>
      <c r="L173" s="1" t="n">
        <f aca="false">'AI VZ u. AIOED BSc dual'!L25</f>
        <v>0</v>
      </c>
      <c r="M173" s="1" t="n">
        <f aca="false">'AI VZ u. AIOED BSc dual'!M25</f>
        <v>0</v>
      </c>
    </row>
    <row r="174" customFormat="false" ht="14.15" hidden="false" customHeight="false" outlineLevel="0" collapsed="false">
      <c r="A174" s="6" t="str">
        <f aca="false">'CSM BSc'!A7</f>
        <v>20252</v>
      </c>
      <c r="B174" s="6" t="str">
        <f aca="false">'CSM BSc'!B7</f>
        <v>F25B-106</v>
      </c>
      <c r="C174" s="6" t="str">
        <f aca="false">'CSM BSc'!C7</f>
        <v>Grundlagen der BWL</v>
      </c>
      <c r="D174" s="6" t="n">
        <f aca="false">'CSM BSc'!D7</f>
        <v>0</v>
      </c>
      <c r="E174" s="6" t="n">
        <f aca="false">'CSM BSc'!E7</f>
        <v>27</v>
      </c>
      <c r="F174" s="6" t="n">
        <f aca="false">'CSM BSc'!F7</f>
        <v>0</v>
      </c>
      <c r="G174" s="6" t="str">
        <f aca="false">'CSM BSc'!G7</f>
        <v>2-Di</v>
      </c>
      <c r="H174" s="8" t="n">
        <f aca="false">'CSM BSc'!H7</f>
        <v>46049</v>
      </c>
      <c r="I174" s="6" t="str">
        <f aca="false">'CSM BSc'!I7</f>
        <v>11:45 - 13:15</v>
      </c>
      <c r="J174" s="6" t="str">
        <f aca="false">'CSM BSc'!J7</f>
        <v>c3.10</v>
      </c>
      <c r="K174" s="9" t="str">
        <f aca="false">'CSM BSc'!K7</f>
        <v>Fränzl, Jonas, Herr (Ass) - 4.000 SWS</v>
      </c>
      <c r="L174" s="1" t="n">
        <f aca="false">'AI VZ u. AIOED BSc dual'!L26</f>
        <v>0</v>
      </c>
      <c r="M174" s="1" t="n">
        <f aca="false">'AI VZ u. AIOED BSc dual'!M26</f>
        <v>0</v>
      </c>
    </row>
    <row r="175" customFormat="false" ht="26.85" hidden="false" customHeight="false" outlineLevel="0" collapsed="false">
      <c r="A175" s="6" t="str">
        <f aca="false">Optionen!A12</f>
        <v>20251</v>
      </c>
      <c r="B175" s="6" t="str">
        <f aca="false">Optionen!B12</f>
        <v>000-11063</v>
      </c>
      <c r="C175" s="9" t="str">
        <f aca="false">Optionen!C12</f>
        <v>Compliance-Organisation in der Unternehmenspraxis</v>
      </c>
      <c r="D175" s="6" t="n">
        <f aca="false">Optionen!D12</f>
        <v>0</v>
      </c>
      <c r="E175" s="6" t="n">
        <f aca="false">Optionen!E12</f>
        <v>0</v>
      </c>
      <c r="F175" s="6" t="n">
        <f aca="false">Optionen!F12</f>
        <v>0</v>
      </c>
      <c r="G175" s="6" t="str">
        <f aca="false">Optionen!G12</f>
        <v>2-Di</v>
      </c>
      <c r="H175" s="8" t="n">
        <f aca="false">Optionen!H12</f>
        <v>46049</v>
      </c>
      <c r="I175" s="6" t="str">
        <f aca="false">Optionen!I12</f>
        <v>18:15 - 20:15</v>
      </c>
      <c r="J175" s="6" t="n">
        <f aca="false">Optionen!J12</f>
        <v>0</v>
      </c>
      <c r="K175" s="9" t="str">
        <f aca="false">Optionen!K12</f>
        <v>Nerenberg, Colin, Herr (LKfbA) - 3.000 SWS;Weber, Martin, Herr Prof. Dr. (Prof) - 1.000 SWS</v>
      </c>
      <c r="L175" s="1" t="n">
        <f aca="false">'AI VZ u. AIOED BSc dual'!L27</f>
        <v>0</v>
      </c>
      <c r="M175" s="1" t="n">
        <f aca="false">'AI VZ u. AIOED BSc dual'!M27</f>
        <v>0</v>
      </c>
    </row>
    <row r="176" customFormat="false" ht="14.15" hidden="false" customHeight="false" outlineLevel="0" collapsed="false">
      <c r="A176" s="6" t="str">
        <f aca="false">'WR LLM'!A11</f>
        <v>20252</v>
      </c>
      <c r="B176" s="6" t="str">
        <f aca="false">'WR LLM'!B11</f>
        <v>932-60203</v>
      </c>
      <c r="C176" s="9" t="str">
        <f aca="false">'WR LLM'!C11</f>
        <v>Vertragsgestaltung &amp; Internationales Arbeitsrecht</v>
      </c>
      <c r="D176" s="6" t="n">
        <f aca="false">'WR LLM'!D11</f>
        <v>0</v>
      </c>
      <c r="E176" s="6" t="n">
        <f aca="false">'WR LLM'!E11</f>
        <v>16</v>
      </c>
      <c r="F176" s="6" t="str">
        <f aca="false">'WR LLM'!F11</f>
        <v>30 Minuten</v>
      </c>
      <c r="G176" s="6" t="str">
        <f aca="false">'WR LLM'!G11</f>
        <v>2-Di</v>
      </c>
      <c r="H176" s="8" t="n">
        <f aca="false">'WR LLM'!H11</f>
        <v>46049</v>
      </c>
      <c r="I176" s="6" t="str">
        <f aca="false">'WR LLM'!I11</f>
        <v>16:15 - 18:15</v>
      </c>
      <c r="J176" s="6" t="str">
        <f aca="false">'WR LLM'!J11</f>
        <v>a3.06</v>
      </c>
      <c r="K176" s="9" t="str">
        <f aca="false">'WR LLM'!K11</f>
        <v>Walser, Manfred, Herr Prof. Dr. (Prof) - 4.000 SWS</v>
      </c>
      <c r="L176" s="1" t="n">
        <f aca="false">'AI VZ u. AIOED BSc dual'!L28</f>
        <v>0</v>
      </c>
      <c r="M176" s="1" t="n">
        <f aca="false">'AI VZ u. AIOED BSc dual'!M28</f>
        <v>0</v>
      </c>
    </row>
    <row r="177" customFormat="false" ht="14.15" hidden="false" customHeight="false" outlineLevel="0" collapsed="false">
      <c r="A177" s="6" t="str">
        <f aca="false">'Management MSc'!A8</f>
        <v>20252</v>
      </c>
      <c r="B177" s="6" t="str">
        <f aca="false">'Management MSc'!B8</f>
        <v>996-61203</v>
      </c>
      <c r="C177" s="9" t="str">
        <f aca="false">'Management MSc'!C8</f>
        <v>Managerial Economics</v>
      </c>
      <c r="D177" s="7" t="n">
        <f aca="false">'Management MSc'!D8</f>
        <v>60102</v>
      </c>
      <c r="E177" s="6" t="n">
        <f aca="false">'Management MSc'!E8</f>
        <v>14</v>
      </c>
      <c r="F177" s="6" t="n">
        <f aca="false">'Management MSc'!F8</f>
        <v>0</v>
      </c>
      <c r="G177" s="6" t="str">
        <f aca="false">'Management MSc'!G8</f>
        <v>2-Di</v>
      </c>
      <c r="H177" s="8" t="n">
        <f aca="false">'Management MSc'!H8</f>
        <v>46049</v>
      </c>
      <c r="I177" s="6" t="str">
        <f aca="false">'Management MSc'!I8</f>
        <v>18:15 - 20:15</v>
      </c>
      <c r="J177" s="6" t="str">
        <f aca="false">'Management MSc'!J8</f>
        <v>a3.08</v>
      </c>
      <c r="K177" s="9" t="str">
        <f aca="false">'Management MSc'!K8</f>
        <v>Freudenberger, Axel, Herr Prof. Dr. (Prof) - 4.000 SWS</v>
      </c>
      <c r="L177" s="1" t="n">
        <f aca="false">'AI VZ u. AIOED BSc dual'!L29</f>
        <v>0</v>
      </c>
      <c r="M177" s="1" t="n">
        <f aca="false">'AI VZ u. AIOED BSc dual'!M29</f>
        <v>0</v>
      </c>
    </row>
    <row r="178" customFormat="false" ht="14.15" hidden="false" customHeight="false" outlineLevel="0" collapsed="false">
      <c r="A178" s="6" t="str">
        <f aca="false">'IB &amp; IMLA MA'!A9</f>
        <v>20252</v>
      </c>
      <c r="B178" s="6" t="str">
        <f aca="false">'IB &amp; IMLA MA'!B9</f>
        <v>F39M-102-PE</v>
      </c>
      <c r="C178" s="6" t="str">
        <f aca="false">'IB &amp; IMLA MA'!C9</f>
        <v>Accounting and Management Control</v>
      </c>
      <c r="D178" s="7" t="str">
        <f aca="false">'IB &amp; IMLA MA'!D9</f>
        <v>60154, 52104</v>
      </c>
      <c r="E178" s="6" t="n">
        <f aca="false">'IB &amp; IMLA MA'!E9</f>
        <v>21</v>
      </c>
      <c r="F178" s="6" t="n">
        <f aca="false">'IB &amp; IMLA MA'!F9</f>
        <v>0</v>
      </c>
      <c r="G178" s="6" t="str">
        <f aca="false">'IB &amp; IMLA MA'!G9</f>
        <v>2-Di</v>
      </c>
      <c r="H178" s="8" t="n">
        <f aca="false">'IB &amp; IMLA MA'!H9</f>
        <v>46049</v>
      </c>
      <c r="I178" s="6" t="str">
        <f aca="false">'IB &amp; IMLA MA'!I9</f>
        <v>16:00 - 18:00</v>
      </c>
      <c r="J178" s="6" t="str">
        <f aca="false">'IB &amp; IMLA MA'!J9</f>
        <v>c3.04</v>
      </c>
      <c r="K178" s="9" t="str">
        <f aca="false">'IB &amp; IMLA MA'!K9</f>
        <v>Schrank, Randolf, Herr Prof. Dr. (Prof) - 4.000 SWS</v>
      </c>
      <c r="L178" s="1" t="n">
        <f aca="false">'AI VZ u. AIOED BSc dual'!L30</f>
        <v>0</v>
      </c>
      <c r="M178" s="1" t="n">
        <f aca="false">'AI VZ u. AIOED BSc dual'!M30</f>
        <v>0</v>
      </c>
    </row>
    <row r="179" customFormat="false" ht="14.15" hidden="false" customHeight="false" outlineLevel="0" collapsed="false">
      <c r="A179" s="6" t="str">
        <f aca="false">'IB &amp; IMLA MA'!A15</f>
        <v>20252</v>
      </c>
      <c r="B179" s="6" t="str">
        <f aca="false">'IB &amp; IMLA MA'!B15</f>
        <v>964M-104-PE</v>
      </c>
      <c r="C179" s="6" t="str">
        <f aca="false">'IB &amp; IMLA MA'!C15</f>
        <v>Financial Reporting</v>
      </c>
      <c r="D179" s="7" t="str">
        <f aca="false">'IB &amp; IMLA MA'!D15</f>
        <v>52104, 60154</v>
      </c>
      <c r="E179" s="6" t="n">
        <f aca="false">'IB &amp; IMLA MA'!E15</f>
        <v>30</v>
      </c>
      <c r="F179" s="6" t="n">
        <f aca="false">'IB &amp; IMLA MA'!F15</f>
        <v>0</v>
      </c>
      <c r="G179" s="6" t="str">
        <f aca="false">'IB &amp; IMLA MA'!G15</f>
        <v>2-Di</v>
      </c>
      <c r="H179" s="8" t="n">
        <f aca="false">'IB &amp; IMLA MA'!H15</f>
        <v>46049</v>
      </c>
      <c r="I179" s="6" t="str">
        <f aca="false">'IB &amp; IMLA MA'!I15</f>
        <v>16:00 - 18:00</v>
      </c>
      <c r="J179" s="6" t="str">
        <f aca="false">'IB &amp; IMLA MA'!J15</f>
        <v>a3.10</v>
      </c>
      <c r="K179" s="9" t="str">
        <f aca="false">'IB &amp; IMLA MA'!K15</f>
        <v>Lorenz, Karsten, Herr Prof. Dr. (Prof) - 6.000 SWS</v>
      </c>
      <c r="L179" s="1" t="n">
        <f aca="false">'AI VZ u. AIOED BSc dual'!L31</f>
        <v>0</v>
      </c>
      <c r="M179" s="1" t="n">
        <f aca="false">'AI VZ u. AIOED BSc dual'!M31</f>
        <v>0</v>
      </c>
    </row>
    <row r="180" customFormat="false" ht="26.85" hidden="false" customHeight="false" outlineLevel="0" collapsed="false">
      <c r="A180" s="6" t="str">
        <f aca="false">'BA MSc'!A18</f>
        <v>20252</v>
      </c>
      <c r="B180" s="6" t="str">
        <f aca="false">'BA MSc'!B18</f>
        <v>A23-70302</v>
      </c>
      <c r="C180" s="9" t="str">
        <f aca="false">'BA MSc'!C18</f>
        <v>Entwicklung von Führungskompetenz</v>
      </c>
      <c r="D180" s="7" t="str">
        <f aca="false">'BA MSc'!D18</f>
        <v>60302, 52302</v>
      </c>
      <c r="E180" s="6" t="n">
        <f aca="false">'BA MSc'!E18</f>
        <v>24</v>
      </c>
      <c r="F180" s="6" t="n">
        <f aca="false">'BA MSc'!F18</f>
        <v>0</v>
      </c>
      <c r="G180" s="6" t="str">
        <f aca="false">'BA MSc'!G18</f>
        <v>2-Di</v>
      </c>
      <c r="H180" s="8" t="n">
        <f aca="false">'BA MSc'!H18</f>
        <v>46049</v>
      </c>
      <c r="I180" s="6" t="str">
        <f aca="false">'BA MSc'!I18</f>
        <v>18:15 - 20:15</v>
      </c>
      <c r="J180" s="6" t="str">
        <f aca="false">'BA MSc'!J18</f>
        <v>a3.10</v>
      </c>
      <c r="K180" s="9" t="str">
        <f aca="false">'BA MSc'!K18</f>
        <v>Macharowsky, Thilo, Herr (LBA) - 2.000 SWS;Nickolaus, Natascha, Frau (LBA) - 2.000 SWS</v>
      </c>
      <c r="L180" s="1" t="n">
        <f aca="false">'AI VZ u. AIOED BSc dual'!L32</f>
        <v>0</v>
      </c>
      <c r="M180" s="1" t="n">
        <f aca="false">'AI VZ u. AIOED BSc dual'!M32</f>
        <v>0</v>
      </c>
    </row>
    <row r="181" customFormat="false" ht="14.15" hidden="false" customHeight="false" outlineLevel="0" collapsed="false">
      <c r="A181" s="6" t="str">
        <f aca="false">'IB &amp; IMLA MA'!A10</f>
        <v>w</v>
      </c>
      <c r="B181" s="6" t="str">
        <f aca="false">'IB &amp; IMLA MA'!B10</f>
        <v>B09-60154</v>
      </c>
      <c r="C181" s="6" t="str">
        <f aca="false">'IB &amp; IMLA MA'!C10</f>
        <v>International Business Law</v>
      </c>
      <c r="D181" s="7" t="str">
        <f aca="false">'IB &amp; IMLA MA'!D10</f>
        <v>F39M-102-PE</v>
      </c>
      <c r="E181" s="6" t="n">
        <f aca="false">'IB &amp; IMLA MA'!E10</f>
        <v>2</v>
      </c>
      <c r="F181" s="6" t="n">
        <f aca="false">'IB &amp; IMLA MA'!F10</f>
        <v>0</v>
      </c>
      <c r="G181" s="6" t="str">
        <f aca="false">'IB &amp; IMLA MA'!G10</f>
        <v>2-Di</v>
      </c>
      <c r="H181" s="8" t="n">
        <f aca="false">'IB &amp; IMLA MA'!H10</f>
        <v>46049</v>
      </c>
      <c r="I181" s="6" t="str">
        <f aca="false">'IB &amp; IMLA MA'!I10</f>
        <v>16:00 - 18:00</v>
      </c>
      <c r="J181" s="6" t="str">
        <f aca="false">'IB &amp; IMLA MA'!J10</f>
        <v>a3.04</v>
      </c>
      <c r="K181" s="6" t="str">
        <f aca="false">'IB &amp; IMLA MA'!K10</f>
        <v>Schrank, Randolf, Herr Prof. Dr. (Prof) - 4.000 SWS</v>
      </c>
      <c r="L181" s="1" t="n">
        <f aca="false">'AI VZ u. AIOED BSc dual'!L33</f>
        <v>0</v>
      </c>
      <c r="M181" s="1" t="n">
        <f aca="false">'AI VZ u. AIOED BSc dual'!M33</f>
        <v>0</v>
      </c>
    </row>
    <row r="182" customFormat="false" ht="14.15" hidden="false" customHeight="false" outlineLevel="0" collapsed="false">
      <c r="A182" s="6" t="str">
        <f aca="false">'BWL BSc u. BWL ÖD BSc'!A17</f>
        <v>20252</v>
      </c>
      <c r="B182" s="6" t="str">
        <f aca="false">'BWL BSc u. BWL ÖD BSc'!B17</f>
        <v>021/D43-3155 (A)</v>
      </c>
      <c r="C182" s="6" t="str">
        <f aca="false">'BWL BSc u. BWL ÖD BSc'!C17</f>
        <v>Business English</v>
      </c>
      <c r="D182" s="7" t="str">
        <f aca="false">'BWL BSc u. BWL ÖD BSc'!D17</f>
        <v>2105, 2205</v>
      </c>
      <c r="E182" s="6" t="n">
        <f aca="false">'BWL BSc u. BWL ÖD BSc'!E17</f>
        <v>154</v>
      </c>
      <c r="F182" s="6" t="n">
        <f aca="false">'BWL BSc u. BWL ÖD BSc'!F17</f>
        <v>0</v>
      </c>
      <c r="G182" s="6" t="str">
        <f aca="false">'BWL BSc u. BWL ÖD BSc'!G17</f>
        <v>2-Mi</v>
      </c>
      <c r="H182" s="8" t="n">
        <f aca="false">'BWL BSc u. BWL ÖD BSc'!H17</f>
        <v>46050</v>
      </c>
      <c r="I182" s="6" t="str">
        <f aca="false">'BWL BSc u. BWL ÖD BSc'!I17</f>
        <v>11:45 - 13:15</v>
      </c>
      <c r="J182" s="6" t="str">
        <f aca="false">'BWL BSc u. BWL ÖD BSc'!J17</f>
        <v>Aula, a3.10, a3.08</v>
      </c>
      <c r="K182" s="9" t="str">
        <f aca="false">'BWL BSc u. BWL ÖD BSc'!K17</f>
        <v>Thompson, Liam, Herr (LKfbA) - 4.000 SWS</v>
      </c>
      <c r="L182" s="1" t="n">
        <f aca="false">'AI VZ u. AIOED BSc dual'!L34</f>
        <v>0</v>
      </c>
      <c r="M182" s="1" t="n">
        <f aca="false">'AI VZ u. AIOED BSc dual'!M34</f>
        <v>0</v>
      </c>
    </row>
    <row r="183" customFormat="false" ht="14.15" hidden="false" customHeight="false" outlineLevel="0" collapsed="false">
      <c r="A183" s="6" t="str">
        <f aca="false">'BWL BSc u. BWL ÖD BSc'!A18</f>
        <v>20252</v>
      </c>
      <c r="B183" s="6" t="str">
        <f aca="false">'BWL BSc u. BWL ÖD BSc'!B18</f>
        <v>021-3155 (B)</v>
      </c>
      <c r="C183" s="6" t="str">
        <f aca="false">'BWL BSc u. BWL ÖD BSc'!C18</f>
        <v>Business English</v>
      </c>
      <c r="D183" s="7" t="n">
        <f aca="false">'BWL BSc u. BWL ÖD BSc'!D18</f>
        <v>0</v>
      </c>
      <c r="E183" s="6" t="str">
        <f aca="false">'BWL BSc u. BWL ÖD BSc'!E18</f>
        <v>s.o.</v>
      </c>
      <c r="F183" s="6" t="n">
        <f aca="false">'BWL BSc u. BWL ÖD BSc'!F18</f>
        <v>0</v>
      </c>
      <c r="G183" s="6" t="str">
        <f aca="false">'BWL BSc u. BWL ÖD BSc'!G18</f>
        <v>2-Mi</v>
      </c>
      <c r="H183" s="8" t="n">
        <f aca="false">'BWL BSc u. BWL ÖD BSc'!H18</f>
        <v>46050</v>
      </c>
      <c r="I183" s="6" t="str">
        <f aca="false">'BWL BSc u. BWL ÖD BSc'!I18</f>
        <v>11:45 - 13:15</v>
      </c>
      <c r="J183" s="6" t="str">
        <f aca="false">'BWL BSc u. BWL ÖD BSc'!J18</f>
        <v>s.o.</v>
      </c>
      <c r="K183" s="9" t="str">
        <f aca="false">'BWL BSc u. BWL ÖD BSc'!K18</f>
        <v>N.N.</v>
      </c>
      <c r="L183" s="1" t="n">
        <f aca="false">'AI VZ u. AIOED BSc dual'!L35</f>
        <v>0</v>
      </c>
      <c r="M183" s="1" t="n">
        <f aca="false">'AI VZ u. AIOED BSc dual'!M35</f>
        <v>0</v>
      </c>
    </row>
    <row r="184" customFormat="false" ht="14.15" hidden="false" customHeight="false" outlineLevel="0" collapsed="false">
      <c r="A184" s="6" t="str">
        <f aca="false">'BWL BSc u. BWL ÖD BSc'!A19</f>
        <v>20252</v>
      </c>
      <c r="B184" s="6" t="str">
        <f aca="false">'BWL BSc u. BWL ÖD BSc'!B19</f>
        <v>021-3155 (C )</v>
      </c>
      <c r="C184" s="6" t="str">
        <f aca="false">'BWL BSc u. BWL ÖD BSc'!C19</f>
        <v>Business English</v>
      </c>
      <c r="D184" s="7" t="n">
        <f aca="false">'BWL BSc u. BWL ÖD BSc'!D19</f>
        <v>0</v>
      </c>
      <c r="E184" s="6" t="str">
        <f aca="false">'BWL BSc u. BWL ÖD BSc'!E19</f>
        <v>s.o.</v>
      </c>
      <c r="F184" s="6" t="n">
        <f aca="false">'BWL BSc u. BWL ÖD BSc'!F19</f>
        <v>0</v>
      </c>
      <c r="G184" s="6" t="str">
        <f aca="false">'BWL BSc u. BWL ÖD BSc'!G19</f>
        <v>2-Mi</v>
      </c>
      <c r="H184" s="8" t="n">
        <f aca="false">'BWL BSc u. BWL ÖD BSc'!H19</f>
        <v>46050</v>
      </c>
      <c r="I184" s="6" t="str">
        <f aca="false">'BWL BSc u. BWL ÖD BSc'!I19</f>
        <v>11:45 - 13:15</v>
      </c>
      <c r="J184" s="6" t="str">
        <f aca="false">'BWL BSc u. BWL ÖD BSc'!J19</f>
        <v>s.o.</v>
      </c>
      <c r="K184" s="9" t="str">
        <f aca="false">'BWL BSc u. BWL ÖD BSc'!K19</f>
        <v>Ritterhoff, Teresa, Frau Dr. (LKfbA) - 4.000 SWS</v>
      </c>
      <c r="L184" s="1" t="n">
        <f aca="false">'AI VZ u. AIOED BSc dual'!L36</f>
        <v>0</v>
      </c>
      <c r="M184" s="1" t="n">
        <f aca="false">'AI VZ u. AIOED BSc dual'!M36</f>
        <v>0</v>
      </c>
    </row>
    <row r="185" customFormat="false" ht="14.15" hidden="false" customHeight="false" outlineLevel="0" collapsed="false">
      <c r="A185" s="6" t="str">
        <f aca="false">'BWL BSc u. BWL ÖD BSc'!A20</f>
        <v>20252</v>
      </c>
      <c r="B185" s="6" t="str">
        <f aca="false">'BWL BSc u. BWL ÖD BSc'!B20</f>
        <v>021-3155 (D)</v>
      </c>
      <c r="C185" s="6" t="str">
        <f aca="false">'BWL BSc u. BWL ÖD BSc'!C20</f>
        <v>Business English</v>
      </c>
      <c r="D185" s="7" t="n">
        <f aca="false">'BWL BSc u. BWL ÖD BSc'!D20</f>
        <v>0</v>
      </c>
      <c r="E185" s="6" t="str">
        <f aca="false">'BWL BSc u. BWL ÖD BSc'!E20</f>
        <v>s.o.</v>
      </c>
      <c r="F185" s="6" t="n">
        <f aca="false">'BWL BSc u. BWL ÖD BSc'!F20</f>
        <v>0</v>
      </c>
      <c r="G185" s="6" t="str">
        <f aca="false">'BWL BSc u. BWL ÖD BSc'!G20</f>
        <v>2-Mi</v>
      </c>
      <c r="H185" s="8" t="n">
        <f aca="false">'BWL BSc u. BWL ÖD BSc'!H20</f>
        <v>46050</v>
      </c>
      <c r="I185" s="6" t="str">
        <f aca="false">'BWL BSc u. BWL ÖD BSc'!I20</f>
        <v>11:45 - 13:15</v>
      </c>
      <c r="J185" s="6" t="str">
        <f aca="false">'BWL BSc u. BWL ÖD BSc'!J20</f>
        <v>s.o.</v>
      </c>
      <c r="K185" s="9" t="str">
        <f aca="false">'BWL BSc u. BWL ÖD BSc'!K20</f>
        <v>Schlemmer-Bockius, Dagmar, Frau (LKfbA) - 4.000 SWS</v>
      </c>
      <c r="L185" s="1" t="n">
        <f aca="false">'AI VZ u. AIOED BSc dual'!L37</f>
        <v>0</v>
      </c>
      <c r="M185" s="1" t="n">
        <f aca="false">'AI VZ u. AIOED BSc dual'!M37</f>
        <v>0</v>
      </c>
    </row>
    <row r="186" customFormat="false" ht="14.15" hidden="false" customHeight="false" outlineLevel="0" collapsed="false">
      <c r="A186" s="6" t="str">
        <f aca="false">'BWL BSc u. BWL ÖD BSc'!A21</f>
        <v>20252</v>
      </c>
      <c r="B186" s="6" t="str">
        <f aca="false">'BWL BSc u. BWL ÖD BSc'!B21</f>
        <v>021-3155 (E)</v>
      </c>
      <c r="C186" s="6" t="str">
        <f aca="false">'BWL BSc u. BWL ÖD BSc'!C21</f>
        <v>Business English</v>
      </c>
      <c r="D186" s="7" t="n">
        <f aca="false">'BWL BSc u. BWL ÖD BSc'!D21</f>
        <v>0</v>
      </c>
      <c r="E186" s="6" t="str">
        <f aca="false">'BWL BSc u. BWL ÖD BSc'!E21</f>
        <v>s.o.</v>
      </c>
      <c r="F186" s="6" t="n">
        <f aca="false">'BWL BSc u. BWL ÖD BSc'!F21</f>
        <v>0</v>
      </c>
      <c r="G186" s="6" t="str">
        <f aca="false">'BWL BSc u. BWL ÖD BSc'!G21</f>
        <v>2-Mi</v>
      </c>
      <c r="H186" s="8" t="n">
        <f aca="false">'BWL BSc u. BWL ÖD BSc'!H21</f>
        <v>46050</v>
      </c>
      <c r="I186" s="6" t="str">
        <f aca="false">'BWL BSc u. BWL ÖD BSc'!I21</f>
        <v>11:45 - 13:15</v>
      </c>
      <c r="J186" s="8" t="n">
        <f aca="false">'BWL BSc u. BWL ÖD BSc'!J21</f>
        <v>0</v>
      </c>
      <c r="K186" s="9" t="str">
        <f aca="false">'BWL BSc u. BWL ÖD BSc'!K21</f>
        <v>NNNN, NNNN, Frau (LBA) - SWS</v>
      </c>
      <c r="L186" s="1" t="n">
        <f aca="false">'AI VZ u. AIOED BSc dual'!L38</f>
        <v>0</v>
      </c>
      <c r="M186" s="1" t="n">
        <f aca="false">'AI VZ u. AIOED BSc dual'!M38</f>
        <v>0</v>
      </c>
    </row>
    <row r="187" customFormat="false" ht="14.15" hidden="false" customHeight="false" outlineLevel="0" collapsed="false">
      <c r="A187" s="6" t="str">
        <f aca="false">'BWL BSc u. BWL ÖD BSc'!A71</f>
        <v>20252</v>
      </c>
      <c r="B187" s="6" t="str">
        <f aca="false">'BWL BSc u. BWL ÖD BSc'!B71</f>
        <v>021/D43-3405 (I)</v>
      </c>
      <c r="C187" s="6" t="str">
        <f aca="false">'BWL BSc u. BWL ÖD BSc'!C71</f>
        <v>Digitale Wirtschaft (TL 40% und 60% Assignment mit Präsentation)</v>
      </c>
      <c r="D187" s="6" t="n">
        <f aca="false">'BWL BSc u. BWL ÖD BSc'!D71</f>
        <v>2405</v>
      </c>
      <c r="E187" s="6" t="n">
        <f aca="false">'BWL BSc u. BWL ÖD BSc'!E71</f>
        <v>31</v>
      </c>
      <c r="F187" s="28" t="n">
        <f aca="false">'BWL BSc u. BWL ÖD BSc'!F71</f>
        <v>0.5</v>
      </c>
      <c r="G187" s="6" t="str">
        <f aca="false">'BWL BSc u. BWL ÖD BSc'!G71</f>
        <v>2-Mi</v>
      </c>
      <c r="H187" s="8" t="n">
        <f aca="false">'BWL BSc u. BWL ÖD BSc'!H71</f>
        <v>46050</v>
      </c>
      <c r="I187" s="6" t="str">
        <f aca="false">'BWL BSc u. BWL ÖD BSc'!I71</f>
        <v>13:45 -14:45</v>
      </c>
      <c r="J187" s="6" t="str">
        <f aca="false">'BWL BSc u. BWL ÖD BSc'!J71</f>
        <v>Aula, d0.01</v>
      </c>
      <c r="K187" s="9" t="str">
        <f aca="false">'BWL BSc u. BWL ÖD BSc'!K71</f>
        <v>Huschens, Martin, Herr Prof. Dr. (Prof) - 4.000 SWS</v>
      </c>
      <c r="L187" s="1" t="n">
        <f aca="false">'AI VZ u. AIOED BSc dual'!L39</f>
        <v>0</v>
      </c>
      <c r="M187" s="1" t="n">
        <f aca="false">'AI VZ u. AIOED BSc dual'!M39</f>
        <v>0</v>
      </c>
    </row>
    <row r="188" customFormat="false" ht="14.15" hidden="false" customHeight="false" outlineLevel="0" collapsed="false">
      <c r="A188" s="6" t="str">
        <f aca="false">'BWL BSc u. BWL ÖD BSc'!A72</f>
        <v>20252</v>
      </c>
      <c r="B188" s="6" t="str">
        <f aca="false">'BWL BSc u. BWL ÖD BSc'!B72</f>
        <v>021/D43-3405 (II)</v>
      </c>
      <c r="C188" s="6" t="str">
        <f aca="false">'BWL BSc u. BWL ÖD BSc'!C72</f>
        <v>Digitale Wirtschaft (TL 40% und 60% Assignment mit Präsentation)</v>
      </c>
      <c r="D188" s="6" t="n">
        <f aca="false">'BWL BSc u. BWL ÖD BSc'!D72</f>
        <v>0</v>
      </c>
      <c r="E188" s="6" t="n">
        <f aca="false">'BWL BSc u. BWL ÖD BSc'!E72</f>
        <v>25</v>
      </c>
      <c r="F188" s="6" t="n">
        <f aca="false">'BWL BSc u. BWL ÖD BSc'!F72</f>
        <v>0</v>
      </c>
      <c r="G188" s="6" t="str">
        <f aca="false">'BWL BSc u. BWL ÖD BSc'!G72</f>
        <v>2-Mi</v>
      </c>
      <c r="H188" s="8" t="n">
        <f aca="false">'BWL BSc u. BWL ÖD BSc'!H72</f>
        <v>46050</v>
      </c>
      <c r="I188" s="6" t="str">
        <f aca="false">'BWL BSc u. BWL ÖD BSc'!I72</f>
        <v>13:45 -14:45</v>
      </c>
      <c r="J188" s="6" t="str">
        <f aca="false">'BWL BSc u. BWL ÖD BSc'!J72</f>
        <v>Aula</v>
      </c>
      <c r="K188" s="9" t="str">
        <f aca="false">'BWL BSc u. BWL ÖD BSc'!K72</f>
        <v>Kemmann, Oliver, Herr Dr. (Prof) - 4.000 SWS</v>
      </c>
      <c r="L188" s="1" t="n">
        <f aca="false">'AI VZ u. AIOED BSc dual'!L40</f>
        <v>0</v>
      </c>
      <c r="M188" s="1" t="n">
        <f aca="false">'AI VZ u. AIOED BSc dual'!M40</f>
        <v>0</v>
      </c>
    </row>
    <row r="189" customFormat="false" ht="14.15" hidden="false" customHeight="false" outlineLevel="0" collapsed="false">
      <c r="A189" s="6" t="str">
        <f aca="false">'BWL BSc u. BWL ÖD BSc'!A73</f>
        <v>20252</v>
      </c>
      <c r="B189" s="6" t="str">
        <f aca="false">'BWL BSc u. BWL ÖD BSc'!B73</f>
        <v>021/D43-3405 (III)</v>
      </c>
      <c r="C189" s="6" t="str">
        <f aca="false">'BWL BSc u. BWL ÖD BSc'!C73</f>
        <v>Digitale Wirtschaft (TL 40% und 60% Assignment mit Präsentation)</v>
      </c>
      <c r="D189" s="6" t="n">
        <f aca="false">'BWL BSc u. BWL ÖD BSc'!D73</f>
        <v>0</v>
      </c>
      <c r="E189" s="6" t="n">
        <f aca="false">'BWL BSc u. BWL ÖD BSc'!E73</f>
        <v>40</v>
      </c>
      <c r="F189" s="28" t="n">
        <f aca="false">'BWL BSc u. BWL ÖD BSc'!F73</f>
        <v>0.1</v>
      </c>
      <c r="G189" s="6" t="str">
        <f aca="false">'BWL BSc u. BWL ÖD BSc'!G73</f>
        <v>2-Mi</v>
      </c>
      <c r="H189" s="8" t="n">
        <f aca="false">'BWL BSc u. BWL ÖD BSc'!H73</f>
        <v>46050</v>
      </c>
      <c r="I189" s="6" t="str">
        <f aca="false">'BWL BSc u. BWL ÖD BSc'!I73</f>
        <v>15:00 - 16:00</v>
      </c>
      <c r="J189" s="6" t="str">
        <f aca="false">'BWL BSc u. BWL ÖD BSc'!J73</f>
        <v>c-1.11, c-1.13</v>
      </c>
      <c r="K189" s="9" t="str">
        <f aca="false">'BWL BSc u. BWL ÖD BSc'!K73</f>
        <v>Walter, Tobias, Herr Prof. Dr. (Prof) - 4.000 SWS</v>
      </c>
      <c r="M189" s="1" t="n">
        <f aca="false">'AI VZ u. AIOED BSc dual'!M41</f>
        <v>0</v>
      </c>
    </row>
    <row r="190" customFormat="false" ht="14.15" hidden="false" customHeight="false" outlineLevel="0" collapsed="false">
      <c r="A190" s="6" t="str">
        <f aca="false">'WR LLB'!A30</f>
        <v>20252</v>
      </c>
      <c r="B190" s="6" t="str">
        <f aca="false">'WR LLB'!B30</f>
        <v>932-2211</v>
      </c>
      <c r="C190" s="6" t="str">
        <f aca="false">'WR LLB'!C30</f>
        <v>Kosten- und Leistungsrechnung</v>
      </c>
      <c r="D190" s="7" t="str">
        <f aca="false">'WR LLB'!D30</f>
        <v>042B-105-P</v>
      </c>
      <c r="E190" s="6" t="n">
        <f aca="false">'WR LLB'!E30</f>
        <v>77</v>
      </c>
      <c r="F190" s="6" t="str">
        <f aca="false">'WR LLB'!F30</f>
        <v>2 Stunden</v>
      </c>
      <c r="G190" s="6" t="str">
        <f aca="false">'WR LLB'!G30</f>
        <v>2-Mi</v>
      </c>
      <c r="H190" s="8" t="n">
        <f aca="false">'WR LLB'!H30</f>
        <v>46050</v>
      </c>
      <c r="I190" s="6" t="str">
        <f aca="false">'WR LLB'!I30</f>
        <v>16:00 - 17:30</v>
      </c>
      <c r="J190" s="6" t="str">
        <f aca="false">'WR LLB'!J30</f>
        <v>Aula, A0.12</v>
      </c>
      <c r="K190" s="9" t="str">
        <f aca="false">'WR LLB'!K30</f>
        <v>Lennartz, Wolfgang, Herr Prof. Dr. (Prof) - 3.000 SWS</v>
      </c>
    </row>
    <row r="191" customFormat="false" ht="26.85" hidden="false" customHeight="false" outlineLevel="0" collapsed="false">
      <c r="A191" s="6" t="str">
        <f aca="false">'WR LLB'!A37</f>
        <v>20252</v>
      </c>
      <c r="B191" s="6" t="str">
        <f aca="false">'WR LLB'!B37</f>
        <v>932-2302 (A)</v>
      </c>
      <c r="C191" s="6" t="str">
        <f aca="false">'WR LLB'!C37</f>
        <v>Steuerrecht I - Einkommensteuer</v>
      </c>
      <c r="D191" s="7" t="str">
        <f aca="false">'WR LLB'!D37</f>
        <v>042B-305-P</v>
      </c>
      <c r="E191" s="6" t="n">
        <f aca="false">'WR LLB'!E37</f>
        <v>28</v>
      </c>
      <c r="F191" s="6" t="str">
        <f aca="false">'WR LLB'!F37</f>
        <v>2 Stunden</v>
      </c>
      <c r="G191" s="6" t="str">
        <f aca="false">'WR LLB'!G37</f>
        <v>2-Mi</v>
      </c>
      <c r="H191" s="8" t="n">
        <f aca="false">'WR LLB'!H37</f>
        <v>46050</v>
      </c>
      <c r="I191" s="6" t="str">
        <f aca="false">'WR LLB'!I37</f>
        <v>09:30 - 11:30</v>
      </c>
      <c r="J191" s="6" t="str">
        <f aca="false">'WR LLB'!J37</f>
        <v>C3.10, A0.12</v>
      </c>
      <c r="K191" s="9" t="str">
        <f aca="false">'WR LLB'!K37</f>
        <v>Schüller, Niklas, Herr (LBA) - 3.000 SWS;Molitor, Tom Robin, Herr (LBA) - 1.000 SWS</v>
      </c>
      <c r="M191" s="1" t="n">
        <f aca="false">'AI VZ u. AIOED BSc dual'!M42</f>
        <v>0</v>
      </c>
    </row>
    <row r="192" customFormat="false" ht="26.85" hidden="false" customHeight="false" outlineLevel="0" collapsed="false">
      <c r="A192" s="6" t="str">
        <f aca="false">'WR LLB'!A38</f>
        <v>20252</v>
      </c>
      <c r="B192" s="6" t="str">
        <f aca="false">'WR LLB'!B38</f>
        <v>932-2302 (B)</v>
      </c>
      <c r="C192" s="6" t="str">
        <f aca="false">'WR LLB'!C38</f>
        <v>Steuerrecht I - Einkommensteuer</v>
      </c>
      <c r="D192" s="6" t="n">
        <f aca="false">'WR LLB'!D38</f>
        <v>0</v>
      </c>
      <c r="E192" s="6" t="n">
        <f aca="false">'WR LLB'!E38</f>
        <v>36</v>
      </c>
      <c r="F192" s="6" t="n">
        <f aca="false">'WR LLB'!F38</f>
        <v>0</v>
      </c>
      <c r="G192" s="6" t="str">
        <f aca="false">'WR LLB'!G38</f>
        <v>2-Mi</v>
      </c>
      <c r="H192" s="8" t="n">
        <f aca="false">'WR LLB'!H38</f>
        <v>46050</v>
      </c>
      <c r="I192" s="6" t="str">
        <f aca="false">'WR LLB'!I38</f>
        <v>09:30 - 11:30</v>
      </c>
      <c r="J192" s="6" t="str">
        <f aca="false">'WR LLB'!J38</f>
        <v>c3.08, c3.06</v>
      </c>
      <c r="K192" s="9" t="str">
        <f aca="false">'WR LLB'!K38</f>
        <v>Schüller, Niklas, Herr (LBA) - 3.000 SWS;Molitor, Tom Robin, Herr (LBA) - 1.000 SWS</v>
      </c>
    </row>
    <row r="193" customFormat="false" ht="14.15" hidden="false" customHeight="false" outlineLevel="0" collapsed="false">
      <c r="A193" s="6" t="str">
        <f aca="false">'AI VZ u. AIOED BSc dual'!A16</f>
        <v>w</v>
      </c>
      <c r="B193" s="6" t="str">
        <f aca="false">'AI VZ u. AIOED BSc dual'!B16</f>
        <v>938/D04-2202 (A)</v>
      </c>
      <c r="C193" s="6" t="str">
        <f aca="false">'AI VZ u. AIOED BSc dual'!C16</f>
        <v>Netzwerke &amp; Infrastruktur</v>
      </c>
      <c r="D193" s="6" t="n">
        <f aca="false">'AI VZ u. AIOED BSc dual'!D16</f>
        <v>1202</v>
      </c>
      <c r="E193" s="6" t="n">
        <f aca="false">'AI VZ u. AIOED BSc dual'!E16</f>
        <v>6</v>
      </c>
      <c r="F193" s="6" t="n">
        <f aca="false">'AI VZ u. AIOED BSc dual'!F16</f>
        <v>0</v>
      </c>
      <c r="G193" s="6" t="str">
        <f aca="false">'AI VZ u. AIOED BSc dual'!G16</f>
        <v>2-Mi</v>
      </c>
      <c r="H193" s="8" t="n">
        <f aca="false">'AI VZ u. AIOED BSc dual'!H16</f>
        <v>46050</v>
      </c>
      <c r="I193" s="6" t="str">
        <f aca="false">'AI VZ u. AIOED BSc dual'!I16</f>
        <v>16:00 - 17:30</v>
      </c>
      <c r="J193" s="6" t="str">
        <f aca="false">'AI VZ u. AIOED BSc dual'!J16</f>
        <v>c3.10</v>
      </c>
      <c r="K193" s="9" t="str">
        <f aca="false">'AI VZ u. AIOED BSc dual'!K16</f>
        <v>Rohlmann, Simon, Herr (Prof) - 4.000 SWS</v>
      </c>
      <c r="M193" s="1" t="n">
        <f aca="false">'AI VZ u. AIOED BSc dual'!M43</f>
        <v>0</v>
      </c>
    </row>
    <row r="194" customFormat="false" ht="14.15" hidden="false" customHeight="false" outlineLevel="0" collapsed="false">
      <c r="A194" s="6" t="str">
        <f aca="false">'AI VZ u. AIOED BSc dual'!A17</f>
        <v>w</v>
      </c>
      <c r="B194" s="6" t="str">
        <f aca="false">'AI VZ u. AIOED BSc dual'!B17</f>
        <v>938/D04-2202 (B)</v>
      </c>
      <c r="C194" s="6" t="str">
        <f aca="false">'AI VZ u. AIOED BSc dual'!C17</f>
        <v>Netzwerke &amp; Infrastruktur</v>
      </c>
      <c r="D194" s="6" t="n">
        <f aca="false">'AI VZ u. AIOED BSc dual'!D17</f>
        <v>0</v>
      </c>
      <c r="E194" s="6" t="n">
        <f aca="false">'AI VZ u. AIOED BSc dual'!E17</f>
        <v>19</v>
      </c>
      <c r="F194" s="6" t="n">
        <f aca="false">'AI VZ u. AIOED BSc dual'!F17</f>
        <v>0</v>
      </c>
      <c r="G194" s="6" t="str">
        <f aca="false">'AI VZ u. AIOED BSc dual'!G17</f>
        <v>2-Mi</v>
      </c>
      <c r="H194" s="8" t="n">
        <f aca="false">'AI VZ u. AIOED BSc dual'!H17</f>
        <v>46050</v>
      </c>
      <c r="I194" s="6" t="str">
        <f aca="false">'AI VZ u. AIOED BSc dual'!I17</f>
        <v>16:00 - 17:30</v>
      </c>
      <c r="J194" s="6" t="str">
        <f aca="false">'AI VZ u. AIOED BSc dual'!J17</f>
        <v>c3.10</v>
      </c>
      <c r="K194" s="9" t="str">
        <f aca="false">'AI VZ u. AIOED BSc dual'!K17</f>
        <v>Rohlmann, Simon, Herr (Prof) - 4.000 SWS</v>
      </c>
    </row>
    <row r="195" customFormat="false" ht="14.15" hidden="false" customHeight="false" outlineLevel="0" collapsed="false">
      <c r="A195" s="6" t="str">
        <f aca="false">'DIM VZ u. dual BSc'!A11</f>
        <v>w</v>
      </c>
      <c r="B195" s="6" t="str">
        <f aca="false">'DIM VZ u. dual BSc'!B11</f>
        <v>D01/D08-2204</v>
      </c>
      <c r="C195" s="6" t="str">
        <f aca="false">'DIM VZ u. dual BSc'!C11</f>
        <v>Statistik</v>
      </c>
      <c r="D195" s="6" t="n">
        <f aca="false">'DIM VZ u. dual BSc'!D11</f>
        <v>0</v>
      </c>
      <c r="E195" s="6" t="n">
        <f aca="false">'DIM VZ u. dual BSc'!E11</f>
        <v>15</v>
      </c>
      <c r="F195" s="6" t="n">
        <f aca="false">'DIM VZ u. dual BSc'!F11</f>
        <v>0</v>
      </c>
      <c r="G195" s="6" t="str">
        <f aca="false">'DIM VZ u. dual BSc'!G11</f>
        <v>2-Mi</v>
      </c>
      <c r="H195" s="8" t="n">
        <f aca="false">'DIM VZ u. dual BSc'!H11</f>
        <v>46050</v>
      </c>
      <c r="I195" s="6" t="str">
        <f aca="false">'DIM VZ u. dual BSc'!I11</f>
        <v>10:30 - 12:00</v>
      </c>
      <c r="J195" s="6" t="str">
        <f aca="false">'DIM VZ u. dual BSc'!J11</f>
        <v>a3.06</v>
      </c>
      <c r="K195" s="9" t="str">
        <f aca="false">'DIM VZ u. dual BSc'!K11</f>
        <v>Schlütter, Sebastian, Herr Prof. Dr. (Prof) - 4.000 SWS</v>
      </c>
      <c r="M195" s="1" t="n">
        <f aca="false">'AI VZ u. AIOED BSc dual'!M44</f>
        <v>0</v>
      </c>
    </row>
    <row r="196" customFormat="false" ht="14.15" hidden="false" customHeight="false" outlineLevel="0" collapsed="false">
      <c r="A196" s="6" t="str">
        <f aca="false">'IB BSc'!A4</f>
        <v>20252</v>
      </c>
      <c r="B196" s="6" t="str">
        <f aca="false">'IB BSc'!B4</f>
        <v>964B-103 (A)</v>
      </c>
      <c r="C196" s="6" t="str">
        <f aca="false">'IB BSc'!C4</f>
        <v>Cross Cultural Management</v>
      </c>
      <c r="D196" s="6" t="n">
        <f aca="false">'IB BSc'!D4</f>
        <v>0</v>
      </c>
      <c r="E196" s="6" t="n">
        <f aca="false">'IB BSc'!E4</f>
        <v>20</v>
      </c>
      <c r="F196" s="6" t="n">
        <f aca="false">'IB BSc'!F4</f>
        <v>0</v>
      </c>
      <c r="G196" s="6" t="str">
        <f aca="false">'IB BSc'!G4</f>
        <v>2-Mi</v>
      </c>
      <c r="H196" s="8" t="n">
        <f aca="false">'IB BSc'!H4</f>
        <v>46050</v>
      </c>
      <c r="I196" s="6" t="str">
        <f aca="false">'IB BSc'!I4</f>
        <v>11:45 - 13:15</v>
      </c>
      <c r="J196" s="6" t="str">
        <f aca="false">'IB BSc'!J4</f>
        <v>d0.01</v>
      </c>
      <c r="K196" s="9" t="str">
        <f aca="false">'IB BSc'!K4</f>
        <v>Breu, Britt, Frau - SWS</v>
      </c>
      <c r="M196" s="1" t="n">
        <f aca="false">'AI VZ u. AIOED BSc dual'!M45</f>
        <v>0</v>
      </c>
    </row>
    <row r="197" customFormat="false" ht="39.55" hidden="false" customHeight="false" outlineLevel="0" collapsed="false">
      <c r="A197" s="6" t="str">
        <f aca="false">Optionen!A17</f>
        <v>20252</v>
      </c>
      <c r="B197" s="6" t="str">
        <f aca="false">Optionen!B17</f>
        <v>000-12043</v>
      </c>
      <c r="C197" s="6" t="str">
        <f aca="false">Optionen!C17</f>
        <v>Datenschutzrecht und IT-Sicherheit</v>
      </c>
      <c r="D197" s="6" t="n">
        <f aca="false">Optionen!D17</f>
        <v>0</v>
      </c>
      <c r="E197" s="6" t="n">
        <f aca="false">Optionen!E17</f>
        <v>23</v>
      </c>
      <c r="F197" s="6" t="n">
        <f aca="false">Optionen!F17</f>
        <v>0</v>
      </c>
      <c r="G197" s="6" t="str">
        <f aca="false">Optionen!G17</f>
        <v>2-Mi</v>
      </c>
      <c r="H197" s="8" t="n">
        <f aca="false">Optionen!H17</f>
        <v>46050</v>
      </c>
      <c r="I197" s="6" t="str">
        <f aca="false">Optionen!I17</f>
        <v>09:30 - 11:30</v>
      </c>
      <c r="J197" s="6" t="str">
        <f aca="false">Optionen!J17</f>
        <v>d1.08/d1.10</v>
      </c>
      <c r="K197" s="9" t="str">
        <f aca="false">Optionen!K17</f>
        <v>Kuntze, Nicolai, Herr Prof. Dr. (Prof) - 1.000 SWS;Baldus, Bianca, Frau Prof. Dr. (Prof) - 1.500 SWS;Bormann, Elena, Frau (LBA) - 1.500 SWS</v>
      </c>
      <c r="M197" s="1" t="n">
        <f aca="false">'AI VZ u. AIOED BSc dual'!M46</f>
        <v>0</v>
      </c>
    </row>
    <row r="198" customFormat="false" ht="14.15" hidden="false" customHeight="false" outlineLevel="0" collapsed="false">
      <c r="A198" s="6" t="str">
        <f aca="false">Optionen!A50</f>
        <v>w</v>
      </c>
      <c r="B198" s="6" t="str">
        <f aca="false">Optionen!B50</f>
        <v>000-27034</v>
      </c>
      <c r="C198" s="9" t="str">
        <f aca="false">Optionen!C50</f>
        <v>Unternehmenssteuern</v>
      </c>
      <c r="D198" s="6" t="n">
        <f aca="false">Optionen!D50</f>
        <v>0</v>
      </c>
      <c r="E198" s="6" t="n">
        <f aca="false">Optionen!E50</f>
        <v>2</v>
      </c>
      <c r="F198" s="6" t="n">
        <f aca="false">Optionen!F50</f>
        <v>0</v>
      </c>
      <c r="G198" s="6" t="str">
        <f aca="false">Optionen!G50</f>
        <v>2-Mi</v>
      </c>
      <c r="H198" s="8" t="n">
        <f aca="false">Optionen!H50</f>
        <v>46050</v>
      </c>
      <c r="I198" s="6" t="str">
        <f aca="false">Optionen!I50</f>
        <v>18:15 - 20:15</v>
      </c>
      <c r="J198" s="6" t="str">
        <f aca="false">Optionen!J50</f>
        <v>a3.04</v>
      </c>
      <c r="K198" s="9" t="str">
        <f aca="false">Optionen!K50</f>
        <v>Kämmerer, Bardo, Herr Prof. Dr. (Prof) - 4.000 SWS</v>
      </c>
      <c r="M198" s="1" t="n">
        <f aca="false">'DIM VZ u. dual BSc'!L2</f>
        <v>0</v>
      </c>
    </row>
    <row r="199" customFormat="false" ht="26.85" hidden="false" customHeight="false" outlineLevel="0" collapsed="false">
      <c r="A199" s="6" t="str">
        <f aca="false">'WR LLM'!A4</f>
        <v>w</v>
      </c>
      <c r="B199" s="6" t="str">
        <f aca="false">'WR LLM'!B4</f>
        <v>932-60103</v>
      </c>
      <c r="C199" s="9" t="str">
        <f aca="false">'WR LLM'!C4</f>
        <v>Betriebliche Altersversorgung, AFG, Sozialversicherungsrecht</v>
      </c>
      <c r="D199" s="6" t="n">
        <f aca="false">'WR LLM'!D4</f>
        <v>0</v>
      </c>
      <c r="E199" s="6" t="n">
        <f aca="false">'WR LLM'!E4</f>
        <v>1</v>
      </c>
      <c r="F199" s="6" t="n">
        <f aca="false">'WR LLM'!F4</f>
        <v>0</v>
      </c>
      <c r="G199" s="6" t="str">
        <f aca="false">'WR LLM'!G4</f>
        <v>2-Mi</v>
      </c>
      <c r="H199" s="8" t="n">
        <f aca="false">'WR LLM'!H4</f>
        <v>46050</v>
      </c>
      <c r="I199" s="6" t="str">
        <f aca="false">'WR LLM'!I4</f>
        <v>09:30 - 11:30</v>
      </c>
      <c r="J199" s="6" t="str">
        <f aca="false">'WR LLM'!J4</f>
        <v>b1.01/b1.03</v>
      </c>
      <c r="K199" s="9" t="str">
        <f aca="false">'WR LLM'!K4</f>
        <v>Gutzler, Stephan, Herr Dr. (LBA) - 2.000 SWS;Döring, René, Herr Dr. (LBA) - 2.000 SWS</v>
      </c>
      <c r="M199" s="1" t="n">
        <f aca="false">'DIM VZ u. dual BSc'!L3</f>
        <v>0</v>
      </c>
    </row>
    <row r="200" customFormat="false" ht="14.15" hidden="false" customHeight="false" outlineLevel="0" collapsed="false">
      <c r="A200" s="6" t="str">
        <f aca="false">'Management MSc'!A21</f>
        <v>20252</v>
      </c>
      <c r="B200" s="6" t="str">
        <f aca="false">'Management MSc'!B21</f>
        <v>000-56392</v>
      </c>
      <c r="C200" s="9" t="str">
        <f aca="false">'Management MSc'!C21</f>
        <v>Brand Management (70 Minuten Präsenzprüfung)</v>
      </c>
      <c r="D200" s="7" t="n">
        <f aca="false">'Management MSc'!D21</f>
        <v>0</v>
      </c>
      <c r="E200" s="6" t="n">
        <f aca="false">'Management MSc'!E21</f>
        <v>8</v>
      </c>
      <c r="F200" s="6" t="n">
        <f aca="false">'Management MSc'!F21</f>
        <v>0</v>
      </c>
      <c r="G200" s="6" t="str">
        <f aca="false">'Management MSc'!G21</f>
        <v>2-Mi</v>
      </c>
      <c r="H200" s="8" t="n">
        <f aca="false">'Management MSc'!H21</f>
        <v>46050</v>
      </c>
      <c r="I200" s="6" t="str">
        <f aca="false">'Management MSc'!I21</f>
        <v>13:45 - 14:55</v>
      </c>
      <c r="J200" s="6" t="str">
        <f aca="false">'Management MSc'!J21</f>
        <v>a3.04</v>
      </c>
      <c r="K200" s="9" t="str">
        <f aca="false">'Management MSc'!K21</f>
        <v>Redler, Jörn, Herr Prof. Dr. (Prof) - 4.000 SWS</v>
      </c>
      <c r="M200" s="1" t="n">
        <f aca="false">'DIM VZ u. dual BSc'!L4</f>
        <v>0</v>
      </c>
    </row>
    <row r="201" customFormat="false" ht="14.15" hidden="false" customHeight="false" outlineLevel="0" collapsed="false">
      <c r="A201" s="6" t="str">
        <f aca="false">'IB &amp; IMLA MA'!A20</f>
        <v>20252</v>
      </c>
      <c r="B201" s="6" t="str">
        <f aca="false">'IB &amp; IMLA MA'!B20</f>
        <v>F39M-101-PE</v>
      </c>
      <c r="C201" s="6" t="str">
        <f aca="false">'IB &amp; IMLA MA'!C20</f>
        <v>Corporate Finance and Investment</v>
      </c>
      <c r="D201" s="7" t="str">
        <f aca="false">'IB &amp; IMLA MA'!D20</f>
        <v>B09-60151</v>
      </c>
      <c r="E201" s="6" t="n">
        <f aca="false">'IB &amp; IMLA MA'!E20</f>
        <v>29</v>
      </c>
      <c r="F201" s="6" t="n">
        <f aca="false">'IB &amp; IMLA MA'!F20</f>
        <v>0</v>
      </c>
      <c r="G201" s="6" t="str">
        <f aca="false">'IB &amp; IMLA MA'!G20</f>
        <v>2-Mi</v>
      </c>
      <c r="H201" s="8" t="n">
        <f aca="false">'IB &amp; IMLA MA'!H20</f>
        <v>46050</v>
      </c>
      <c r="I201" s="6" t="str">
        <f aca="false">'IB &amp; IMLA MA'!I20</f>
        <v>16:00 - 18:00</v>
      </c>
      <c r="J201" s="6" t="str">
        <f aca="false">'IB &amp; IMLA MA'!J20</f>
        <v>a3.10</v>
      </c>
      <c r="K201" s="9" t="str">
        <f aca="false">'IB &amp; IMLA MA'!K20</f>
        <v>Wittstock, Anja, Frau Prof. Dr. (Prof) - 2.000 SWS</v>
      </c>
      <c r="M201" s="1" t="n">
        <f aca="false">'DIM VZ u. dual BSc'!L5</f>
        <v>0</v>
      </c>
    </row>
    <row r="202" customFormat="false" ht="14.15" hidden="false" customHeight="false" outlineLevel="0" collapsed="false">
      <c r="A202" s="6" t="str">
        <f aca="false">'IB &amp; IMLA MA'!A30</f>
        <v>w</v>
      </c>
      <c r="B202" s="6" t="str">
        <f aca="false">'IB &amp; IMLA MA'!B30</f>
        <v>964-60252</v>
      </c>
      <c r="C202" s="6" t="str">
        <f aca="false">'IB &amp; IMLA MA'!C30</f>
        <v>International Corporate Finance</v>
      </c>
      <c r="D202" s="6" t="n">
        <f aca="false">'IB &amp; IMLA MA'!D30</f>
        <v>0</v>
      </c>
      <c r="E202" s="6" t="n">
        <f aca="false">'IB &amp; IMLA MA'!E30</f>
        <v>7</v>
      </c>
      <c r="F202" s="6" t="n">
        <f aca="false">'IB &amp; IMLA MA'!F30</f>
        <v>0</v>
      </c>
      <c r="G202" s="6" t="str">
        <f aca="false">'IB &amp; IMLA MA'!G30</f>
        <v>2-Mi</v>
      </c>
      <c r="H202" s="8" t="n">
        <f aca="false">'IB &amp; IMLA MA'!H30</f>
        <v>46050</v>
      </c>
      <c r="I202" s="6" t="str">
        <f aca="false">'IB &amp; IMLA MA'!I30</f>
        <v>18:15 - 20:15</v>
      </c>
      <c r="J202" s="6" t="str">
        <f aca="false">'IB &amp; IMLA MA'!J30</f>
        <v>a3.08</v>
      </c>
      <c r="K202" s="9" t="str">
        <f aca="false">'IB &amp; IMLA MA'!K30</f>
        <v>Drozd, Nataliia, Frau (LBA) - 4.000 SWS</v>
      </c>
      <c r="M202" s="1" t="n">
        <f aca="false">'DIM VZ u. dual BSc'!L6</f>
        <v>0</v>
      </c>
    </row>
    <row r="203" customFormat="false" ht="14.15" hidden="false" customHeight="false" outlineLevel="0" collapsed="false">
      <c r="A203" s="6" t="str">
        <f aca="false">'IB &amp; IMLA MA'!A31</f>
        <v>w</v>
      </c>
      <c r="B203" s="6" t="str">
        <f aca="false">'IB &amp; IMLA MA'!B31</f>
        <v>B09-60252</v>
      </c>
      <c r="C203" s="6" t="str">
        <f aca="false">'IB &amp; IMLA MA'!C31</f>
        <v>International Corporate Finance</v>
      </c>
      <c r="D203" s="6" t="n">
        <f aca="false">'IB &amp; IMLA MA'!D31</f>
        <v>0</v>
      </c>
      <c r="E203" s="6" t="n">
        <f aca="false">'IB &amp; IMLA MA'!E31</f>
        <v>0</v>
      </c>
      <c r="F203" s="6" t="n">
        <f aca="false">'IB &amp; IMLA MA'!F31</f>
        <v>0</v>
      </c>
      <c r="G203" s="6" t="str">
        <f aca="false">'IB &amp; IMLA MA'!G31</f>
        <v>2-Mi</v>
      </c>
      <c r="H203" s="8" t="n">
        <f aca="false">'IB &amp; IMLA MA'!H31</f>
        <v>46050</v>
      </c>
      <c r="I203" s="6" t="str">
        <f aca="false">'IB &amp; IMLA MA'!I31</f>
        <v>18:15 - 20:15</v>
      </c>
      <c r="J203" s="6" t="n">
        <f aca="false">'IB &amp; IMLA MA'!J31</f>
        <v>0</v>
      </c>
      <c r="K203" s="9" t="str">
        <f aca="false">'IB &amp; IMLA MA'!K31</f>
        <v>Drozd, Nataliia, Frau (LBA) - 4.000 SWS</v>
      </c>
      <c r="M203" s="1" t="n">
        <f aca="false">'DIM VZ u. dual BSc'!L7</f>
        <v>0</v>
      </c>
    </row>
    <row r="204" customFormat="false" ht="14.15" hidden="false" customHeight="false" outlineLevel="0" collapsed="false">
      <c r="A204" s="6" t="str">
        <f aca="false">'BA MSc'!A14</f>
        <v>w</v>
      </c>
      <c r="B204" s="6" t="str">
        <f aca="false">'BA MSc'!B14</f>
        <v>A23-70204</v>
      </c>
      <c r="C204" s="9" t="str">
        <f aca="false">'BA MSc'!C14</f>
        <v>Rechnungslegung</v>
      </c>
      <c r="D204" s="6" t="n">
        <f aca="false">'BA MSc'!D14</f>
        <v>60204</v>
      </c>
      <c r="E204" s="6" t="n">
        <f aca="false">'BA MSc'!E14</f>
        <v>2</v>
      </c>
      <c r="F204" s="6" t="n">
        <f aca="false">'BA MSc'!F14</f>
        <v>0</v>
      </c>
      <c r="G204" s="6" t="str">
        <f aca="false">'BA MSc'!G14</f>
        <v>2-Mi</v>
      </c>
      <c r="H204" s="8" t="n">
        <f aca="false">'BA MSc'!H14</f>
        <v>46050</v>
      </c>
      <c r="I204" s="6" t="str">
        <f aca="false">'BA MSc'!I14</f>
        <v>09:30 - 11:30 </v>
      </c>
      <c r="J204" s="6" t="str">
        <f aca="false">'BA MSc'!J14</f>
        <v>b1.05/b1.07</v>
      </c>
      <c r="K204" s="9" t="str">
        <f aca="false">'BA MSc'!K14</f>
        <v>Lorenz, Karsten, Herr Prof. Dr. (Prof) - 2.000 SWS</v>
      </c>
      <c r="M204" s="1" t="n">
        <f aca="false">'DIM VZ u. dual BSc'!L8</f>
        <v>0</v>
      </c>
    </row>
    <row r="205" customFormat="false" ht="14.15" hidden="false" customHeight="false" outlineLevel="0" collapsed="false">
      <c r="A205" s="37" t="n">
        <f aca="false">'IB &amp; IMLA MA'!A34</f>
        <v>20252</v>
      </c>
      <c r="B205" s="6" t="str">
        <f aca="false">'IB &amp; IMLA MA'!B34</f>
        <v>F43M-301</v>
      </c>
      <c r="C205" s="6" t="str">
        <f aca="false">'IB &amp; IMLA MA'!C34</f>
        <v>International Business (Präsentationen)</v>
      </c>
      <c r="D205" s="7" t="str">
        <f aca="false">'IB &amp; IMLA MA'!D34</f>
        <v>B09-60354</v>
      </c>
      <c r="E205" s="6" t="n">
        <f aca="false">'IB &amp; IMLA MA'!E34</f>
        <v>21</v>
      </c>
      <c r="F205" s="6" t="n">
        <f aca="false">'IB &amp; IMLA MA'!F34</f>
        <v>0</v>
      </c>
      <c r="G205" s="6" t="str">
        <f aca="false">'IB &amp; IMLA MA'!G34</f>
        <v>2-Do</v>
      </c>
      <c r="H205" s="8" t="n">
        <f aca="false">'IB &amp; IMLA MA'!H34</f>
        <v>46051</v>
      </c>
      <c r="I205" s="6" t="str">
        <f aca="false">'IB &amp; IMLA MA'!I34</f>
        <v>13:45 - 15:45</v>
      </c>
      <c r="J205" s="6" t="str">
        <f aca="false">'IB &amp; IMLA MA'!J34</f>
        <v>c3.04</v>
      </c>
      <c r="K205" s="6" t="str">
        <f aca="false">'IB &amp; IMLA MA'!K34</f>
        <v>Stéphane Timmer , Herr Prof. Dr. (Prof.) - 2.000 SWS</v>
      </c>
      <c r="M205" s="1" t="n">
        <f aca="false">'DIM VZ u. dual BSc'!L9</f>
        <v>0</v>
      </c>
    </row>
    <row r="206" customFormat="false" ht="14.15" hidden="false" customHeight="false" outlineLevel="0" collapsed="false">
      <c r="A206" s="6" t="str">
        <f aca="false">'BWL BSc u. BWL ÖD BSc'!A25</f>
        <v>20252</v>
      </c>
      <c r="B206" s="6" t="str">
        <f aca="false">'BWL BSc u. BWL ÖD BSc'!B25</f>
        <v>021/D43-3201 (A)</v>
      </c>
      <c r="C206" s="6" t="str">
        <f aca="false">'BWL BSc u. BWL ÖD BSc'!C25</f>
        <v>Statistik</v>
      </c>
      <c r="D206" s="7" t="str">
        <f aca="false">'BWL BSc u. BWL ÖD BSc'!D25</f>
        <v>2201, 1204</v>
      </c>
      <c r="E206" s="6" t="n">
        <f aca="false">'BWL BSc u. BWL ÖD BSc'!E25</f>
        <v>31</v>
      </c>
      <c r="F206" s="6" t="n">
        <f aca="false">'BWL BSc u. BWL ÖD BSc'!F25</f>
        <v>0</v>
      </c>
      <c r="G206" s="6" t="str">
        <f aca="false">'BWL BSc u. BWL ÖD BSc'!G25</f>
        <v>2-Do</v>
      </c>
      <c r="H206" s="8" t="n">
        <f aca="false">'BWL BSc u. BWL ÖD BSc'!H25</f>
        <v>46051</v>
      </c>
      <c r="I206" s="6" t="str">
        <f aca="false">'BWL BSc u. BWL ÖD BSc'!I25</f>
        <v>07:45 - 09:15</v>
      </c>
      <c r="J206" s="6" t="str">
        <f aca="false">'BWL BSc u. BWL ÖD BSc'!J25</f>
        <v>a3.10, a3.04</v>
      </c>
      <c r="K206" s="9" t="str">
        <f aca="false">'BWL BSc u. BWL ÖD BSc'!K25</f>
        <v>Spengler, Hannes, Herr Prof. Dr. (Prof) - 4.000 SWS</v>
      </c>
      <c r="M206" s="1" t="n">
        <f aca="false">'DIM VZ u. dual BSc'!L10</f>
        <v>0</v>
      </c>
    </row>
    <row r="207" customFormat="false" ht="14.15" hidden="false" customHeight="false" outlineLevel="0" collapsed="false">
      <c r="A207" s="6" t="str">
        <f aca="false">'BWL BSc u. BWL ÖD BSc'!A26</f>
        <v>20252</v>
      </c>
      <c r="B207" s="6" t="str">
        <f aca="false">'BWL BSc u. BWL ÖD BSc'!B26</f>
        <v>021-3201 (B)</v>
      </c>
      <c r="C207" s="6" t="str">
        <f aca="false">'BWL BSc u. BWL ÖD BSc'!C26</f>
        <v>Statistik</v>
      </c>
      <c r="D207" s="7" t="n">
        <f aca="false">'BWL BSc u. BWL ÖD BSc'!D26</f>
        <v>0</v>
      </c>
      <c r="E207" s="6" t="n">
        <f aca="false">'BWL BSc u. BWL ÖD BSc'!E26</f>
        <v>23</v>
      </c>
      <c r="F207" s="6" t="n">
        <f aca="false">'BWL BSc u. BWL ÖD BSc'!F26</f>
        <v>0</v>
      </c>
      <c r="G207" s="6" t="str">
        <f aca="false">'BWL BSc u. BWL ÖD BSc'!G26</f>
        <v>2-Do</v>
      </c>
      <c r="H207" s="8" t="n">
        <f aca="false">'BWL BSc u. BWL ÖD BSc'!H26</f>
        <v>46051</v>
      </c>
      <c r="I207" s="6" t="str">
        <f aca="false">'BWL BSc u. BWL ÖD BSc'!I26</f>
        <v>07:45 - 09:15</v>
      </c>
      <c r="J207" s="6" t="str">
        <f aca="false">'BWL BSc u. BWL ÖD BSc'!J26</f>
        <v>a3.06</v>
      </c>
      <c r="K207" s="9" t="str">
        <f aca="false">'BWL BSc u. BWL ÖD BSc'!K26</f>
        <v>Spengler, Hannes, Herr Prof. Dr. (Prof) - 4.000 SWS</v>
      </c>
      <c r="M207" s="1" t="n">
        <f aca="false">'DIM VZ u. dual BSc'!L11</f>
        <v>0</v>
      </c>
    </row>
    <row r="208" customFormat="false" ht="14.15" hidden="false" customHeight="false" outlineLevel="0" collapsed="false">
      <c r="A208" s="6" t="str">
        <f aca="false">'BWL BSc u. BWL ÖD BSc'!A27</f>
        <v>20252</v>
      </c>
      <c r="B208" s="6" t="str">
        <f aca="false">'BWL BSc u. BWL ÖD BSc'!B27</f>
        <v>021-3201 (C)</v>
      </c>
      <c r="C208" s="6" t="str">
        <f aca="false">'BWL BSc u. BWL ÖD BSc'!C27</f>
        <v>Statistik</v>
      </c>
      <c r="D208" s="7" t="n">
        <f aca="false">'BWL BSc u. BWL ÖD BSc'!D27</f>
        <v>0</v>
      </c>
      <c r="E208" s="6" t="n">
        <f aca="false">'BWL BSc u. BWL ÖD BSc'!E27</f>
        <v>16</v>
      </c>
      <c r="F208" s="6" t="n">
        <f aca="false">'BWL BSc u. BWL ÖD BSc'!F27</f>
        <v>0</v>
      </c>
      <c r="G208" s="6" t="str">
        <f aca="false">'BWL BSc u. BWL ÖD BSc'!G27</f>
        <v>2-Do</v>
      </c>
      <c r="H208" s="8" t="n">
        <f aca="false">'BWL BSc u. BWL ÖD BSc'!H27</f>
        <v>46051</v>
      </c>
      <c r="I208" s="6" t="str">
        <f aca="false">'BWL BSc u. BWL ÖD BSc'!I27</f>
        <v>07:45 - 09:15</v>
      </c>
      <c r="J208" s="6" t="str">
        <f aca="false">'BWL BSc u. BWL ÖD BSc'!J27</f>
        <v>a3.04</v>
      </c>
      <c r="K208" s="9" t="str">
        <f aca="false">'BWL BSc u. BWL ÖD BSc'!K27</f>
        <v>Spengler, Hannes, Herr Prof. Dr. (Prof) - 4.000 SWS</v>
      </c>
      <c r="M208" s="1" t="n">
        <f aca="false">'DIM VZ u. dual BSc'!L12</f>
        <v>0</v>
      </c>
    </row>
    <row r="209" customFormat="false" ht="14.15" hidden="false" customHeight="false" outlineLevel="0" collapsed="false">
      <c r="A209" s="6" t="str">
        <f aca="false">'BWL BSc u. BWL ÖD BSc'!A28</f>
        <v>20252</v>
      </c>
      <c r="B209" s="6" t="str">
        <f aca="false">'BWL BSc u. BWL ÖD BSc'!B28</f>
        <v>021-3201/PAN</v>
      </c>
      <c r="C209" s="6" t="str">
        <f aca="false">'BWL BSc u. BWL ÖD BSc'!C28</f>
        <v>Statistik (PAN)</v>
      </c>
      <c r="D209" s="7" t="n">
        <f aca="false">'BWL BSc u. BWL ÖD BSc'!D28</f>
        <v>0</v>
      </c>
      <c r="E209" s="6" t="n">
        <f aca="false">'BWL BSc u. BWL ÖD BSc'!E28</f>
        <v>130</v>
      </c>
      <c r="F209" s="28" t="str">
        <f aca="false">'BWL BSc u. BWL ÖD BSc'!F28</f>
        <v>50%, 10%</v>
      </c>
      <c r="G209" s="6" t="str">
        <f aca="false">'BWL BSc u. BWL ÖD BSc'!G28</f>
        <v>2-Do</v>
      </c>
      <c r="H209" s="8" t="n">
        <f aca="false">'BWL BSc u. BWL ÖD BSc'!H28</f>
        <v>46051</v>
      </c>
      <c r="I209" s="6" t="str">
        <f aca="false">'BWL BSc u. BWL ÖD BSc'!I28</f>
        <v>07:45 - 09:15</v>
      </c>
      <c r="J209" s="6" t="str">
        <f aca="false">'BWL BSc u. BWL ÖD BSc'!J28</f>
        <v>Aula, d0.01</v>
      </c>
      <c r="K209" s="9" t="str">
        <f aca="false">'BWL BSc u. BWL ÖD BSc'!K28</f>
        <v>Porath, Daniel, Herr Prof. Dr. (Prof) - 4.000 SWS</v>
      </c>
      <c r="M209" s="1" t="n">
        <f aca="false">'DIM VZ u. dual BSc'!L13</f>
        <v>0</v>
      </c>
    </row>
    <row r="210" customFormat="false" ht="14.15" hidden="false" customHeight="false" outlineLevel="0" collapsed="false">
      <c r="A210" s="37" t="n">
        <f aca="false">'WR LLB'!A17</f>
        <v>20252</v>
      </c>
      <c r="B210" s="6" t="str">
        <f aca="false">'WR LLB'!B17</f>
        <v>932-2112 </v>
      </c>
      <c r="C210" s="6" t="str">
        <f aca="false">'WR LLB'!C17</f>
        <v>Business English</v>
      </c>
      <c r="D210" s="7" t="str">
        <f aca="false">'WR LLB'!D17</f>
        <v>042B-106</v>
      </c>
      <c r="E210" s="6" t="n">
        <f aca="false">'WR LLB'!E17</f>
        <v>21</v>
      </c>
      <c r="F210" s="6" t="n">
        <f aca="false">'WR LLB'!F17</f>
        <v>0</v>
      </c>
      <c r="G210" s="6" t="str">
        <f aca="false">'WR LLB'!G17</f>
        <v>2-Do</v>
      </c>
      <c r="H210" s="8" t="n">
        <f aca="false">'WR LLB'!H17</f>
        <v>46051</v>
      </c>
      <c r="I210" s="6" t="str">
        <f aca="false">'WR LLB'!I17</f>
        <v>11:45 - 13:15</v>
      </c>
      <c r="J210" s="6" t="str">
        <f aca="false">'WR LLB'!J17</f>
        <v>b1.01/b1.03</v>
      </c>
      <c r="K210" s="9" t="str">
        <f aca="false">'WR LLB'!K17</f>
        <v>Schlemmer-Bockius, Dagmar - 4 SWS</v>
      </c>
      <c r="M210" s="1" t="n">
        <f aca="false">'DIM VZ u. dual BSc'!L14</f>
        <v>0</v>
      </c>
    </row>
    <row r="211" customFormat="false" ht="14.15" hidden="false" customHeight="false" outlineLevel="0" collapsed="false">
      <c r="A211" s="6" t="str">
        <f aca="false">'WR LLB'!A18</f>
        <v>20252</v>
      </c>
      <c r="B211" s="6" t="str">
        <f aca="false">'WR LLB'!B18</f>
        <v>042B-106-P1E (A)</v>
      </c>
      <c r="C211" s="6" t="str">
        <f aca="false">'WR LLB'!C18</f>
        <v>Business &amp; Legal English (Klausur)</v>
      </c>
      <c r="D211" s="7" t="str">
        <f aca="false">'WR LLB'!D18</f>
        <v>932-2112 </v>
      </c>
      <c r="E211" s="6" t="n">
        <f aca="false">'WR LLB'!E18</f>
        <v>68</v>
      </c>
      <c r="F211" s="6" t="n">
        <f aca="false">'WR LLB'!F18</f>
        <v>0</v>
      </c>
      <c r="G211" s="6" t="str">
        <f aca="false">'WR LLB'!G18</f>
        <v>2-Do</v>
      </c>
      <c r="H211" s="8" t="n">
        <f aca="false">'WR LLB'!H18</f>
        <v>46051</v>
      </c>
      <c r="I211" s="6" t="str">
        <f aca="false">'WR LLB'!I18</f>
        <v>11:45 - 13:15</v>
      </c>
      <c r="J211" s="6" t="str">
        <f aca="false">'WR LLB'!J18</f>
        <v>Aula</v>
      </c>
      <c r="K211" s="9" t="str">
        <f aca="false">'WR LLB'!K18</f>
        <v>Thompson, Liam, Herr (LKfbA) - 4.000 SWS</v>
      </c>
      <c r="M211" s="1" t="n">
        <f aca="false">'DIM VZ u. dual BSc'!L15</f>
        <v>0</v>
      </c>
    </row>
    <row r="212" customFormat="false" ht="14.15" hidden="false" customHeight="false" outlineLevel="0" collapsed="false">
      <c r="A212" s="6" t="str">
        <f aca="false">'WR LLB'!A20</f>
        <v>20252</v>
      </c>
      <c r="B212" s="6" t="str">
        <f aca="false">'WR LLB'!B20</f>
        <v>042B-106-P1E (B)</v>
      </c>
      <c r="C212" s="6" t="str">
        <f aca="false">'WR LLB'!C20</f>
        <v>Business &amp; Legal English (Klausur)</v>
      </c>
      <c r="D212" s="6" t="n">
        <f aca="false">'WR LLB'!D20</f>
        <v>0</v>
      </c>
      <c r="E212" s="6" t="str">
        <f aca="false">'WR LLB'!E20</f>
        <v>s.o.</v>
      </c>
      <c r="F212" s="6" t="n">
        <f aca="false">'WR LLB'!F20</f>
        <v>0</v>
      </c>
      <c r="G212" s="6" t="str">
        <f aca="false">'WR LLB'!G20</f>
        <v>2-Do</v>
      </c>
      <c r="H212" s="8" t="n">
        <f aca="false">'WR LLB'!H20</f>
        <v>46051</v>
      </c>
      <c r="I212" s="6" t="str">
        <f aca="false">'WR LLB'!I20</f>
        <v>11:45 - 13:15</v>
      </c>
      <c r="J212" s="6" t="str">
        <f aca="false">'WR LLB'!J20</f>
        <v>s.o.</v>
      </c>
      <c r="K212" s="9" t="str">
        <f aca="false">'WR LLB'!K20</f>
        <v>Ritterhoff, Teresa, Frau Dr. (LKfbA) - 4.000 SWS</v>
      </c>
      <c r="M212" s="1" t="n">
        <f aca="false">'DIM VZ u. dual BSc'!L16</f>
        <v>0</v>
      </c>
    </row>
    <row r="213" customFormat="false" ht="14.15" hidden="false" customHeight="false" outlineLevel="0" collapsed="false">
      <c r="A213" s="6" t="str">
        <f aca="false">'WR LLB'!A22</f>
        <v>20252</v>
      </c>
      <c r="B213" s="6" t="str">
        <f aca="false">'WR LLB'!B22</f>
        <v>042B-106-P1E (C)</v>
      </c>
      <c r="C213" s="6" t="str">
        <f aca="false">'WR LLB'!C22</f>
        <v>Business &amp; Legal English (Klausur)</v>
      </c>
      <c r="D213" s="6" t="n">
        <f aca="false">'WR LLB'!D22</f>
        <v>0</v>
      </c>
      <c r="E213" s="6" t="str">
        <f aca="false">'WR LLB'!E22</f>
        <v>s.o.</v>
      </c>
      <c r="F213" s="6" t="n">
        <f aca="false">'WR LLB'!F22</f>
        <v>0</v>
      </c>
      <c r="G213" s="6" t="str">
        <f aca="false">'WR LLB'!G22</f>
        <v>2-Do</v>
      </c>
      <c r="H213" s="8" t="n">
        <f aca="false">'WR LLB'!H22</f>
        <v>46051</v>
      </c>
      <c r="I213" s="6" t="str">
        <f aca="false">'WR LLB'!I22</f>
        <v>11:45 - 13:15</v>
      </c>
      <c r="J213" s="6" t="str">
        <f aca="false">'WR LLB'!J22</f>
        <v>s.o.</v>
      </c>
      <c r="K213" s="9" t="str">
        <f aca="false">'WR LLB'!K22</f>
        <v>Watson, Heather, Frau - 4.000 SWS</v>
      </c>
      <c r="M213" s="1" t="n">
        <f aca="false">'DIM VZ u. dual BSc'!L17</f>
        <v>0</v>
      </c>
    </row>
    <row r="214" customFormat="false" ht="14.15" hidden="false" customHeight="false" outlineLevel="0" collapsed="false">
      <c r="A214" s="6" t="str">
        <f aca="false">'WR LLB'!A31</f>
        <v>20252</v>
      </c>
      <c r="B214" s="6" t="str">
        <f aca="false">'WR LLB'!B31</f>
        <v>932-2212 (A)</v>
      </c>
      <c r="C214" s="6" t="str">
        <f aca="false">'WR LLB'!C31</f>
        <v>Legal English</v>
      </c>
      <c r="D214" s="7" t="str">
        <f aca="false">'WR LLB'!D31</f>
        <v>042B-106-P1E , 042B-106-P2E</v>
      </c>
      <c r="E214" s="6" t="n">
        <f aca="false">'WR LLB'!E31</f>
        <v>24</v>
      </c>
      <c r="F214" s="28" t="n">
        <f aca="false">'WR LLB'!F31</f>
        <v>0</v>
      </c>
      <c r="G214" s="6" t="str">
        <f aca="false">'WR LLB'!G31</f>
        <v>2-Do</v>
      </c>
      <c r="H214" s="8" t="n">
        <f aca="false">'WR LLB'!H31</f>
        <v>46051</v>
      </c>
      <c r="I214" s="6" t="str">
        <f aca="false">'WR LLB'!I31</f>
        <v>09:30 - 11:00</v>
      </c>
      <c r="J214" s="6" t="str">
        <f aca="false">'WR LLB'!J31</f>
        <v>d0.03</v>
      </c>
      <c r="K214" s="9" t="str">
        <f aca="false">'WR LLB'!K31</f>
        <v>Ritterhoff, Teresa, Frau Dr. (LKfbA) - 2.000 SWS</v>
      </c>
      <c r="M214" s="1" t="n">
        <f aca="false">'DIM VZ u. dual BSc'!L18</f>
        <v>0</v>
      </c>
    </row>
    <row r="215" customFormat="false" ht="14.15" hidden="false" customHeight="false" outlineLevel="0" collapsed="false">
      <c r="A215" s="6" t="str">
        <f aca="false">'WR LLB'!A32</f>
        <v>20252</v>
      </c>
      <c r="B215" s="6" t="str">
        <f aca="false">'WR LLB'!B32</f>
        <v>932-2212 (B)</v>
      </c>
      <c r="C215" s="6" t="str">
        <f aca="false">'WR LLB'!C32</f>
        <v>Legal English</v>
      </c>
      <c r="D215" s="7" t="n">
        <f aca="false">'WR LLB'!D32</f>
        <v>0</v>
      </c>
      <c r="E215" s="6" t="n">
        <f aca="false">'WR LLB'!E32</f>
        <v>28</v>
      </c>
      <c r="F215" s="6" t="n">
        <f aca="false">'WR LLB'!F32</f>
        <v>0</v>
      </c>
      <c r="G215" s="6" t="str">
        <f aca="false">'WR LLB'!G32</f>
        <v>2-Do</v>
      </c>
      <c r="H215" s="8" t="n">
        <f aca="false">'WR LLB'!H32</f>
        <v>46051</v>
      </c>
      <c r="I215" s="6" t="str">
        <f aca="false">'WR LLB'!I32</f>
        <v>09:30 - 11:00</v>
      </c>
      <c r="J215" s="6" t="str">
        <f aca="false">'WR LLB'!J32</f>
        <v>a3.10</v>
      </c>
      <c r="K215" s="9" t="str">
        <f aca="false">'WR LLB'!K32</f>
        <v>Thompson, Liam, Herr (LKfbA) - 2.000 SWS</v>
      </c>
      <c r="M215" s="1" t="n">
        <f aca="false">'DIM VZ u. dual BSc'!L19</f>
        <v>0</v>
      </c>
    </row>
    <row r="216" customFormat="false" ht="39.55" hidden="false" customHeight="false" outlineLevel="0" collapsed="false">
      <c r="A216" s="6" t="str">
        <f aca="false">'WR LLB'!A49</f>
        <v>20252</v>
      </c>
      <c r="B216" s="6" t="str">
        <f aca="false">'WR LLB'!B49</f>
        <v>932-2403</v>
      </c>
      <c r="C216" s="9" t="str">
        <f aca="false">'WR LLB'!C49</f>
        <v>Bank-, Kapitalmarkt-, Konzern- &amp; Umwandungsrecht</v>
      </c>
      <c r="D216" s="7" t="str">
        <f aca="false">'WR LLB'!D49</f>
        <v>042B-402-P1, 042B-402-P2</v>
      </c>
      <c r="E216" s="6" t="n">
        <f aca="false">'WR LLB'!E49</f>
        <v>40</v>
      </c>
      <c r="F216" s="6" t="n">
        <f aca="false">'WR LLB'!F49</f>
        <v>0</v>
      </c>
      <c r="G216" s="6" t="str">
        <f aca="false">'WR LLB'!G49</f>
        <v>2-Do</v>
      </c>
      <c r="H216" s="8" t="n">
        <f aca="false">'WR LLB'!H49</f>
        <v>46051</v>
      </c>
      <c r="I216" s="6" t="str">
        <f aca="false">'WR LLB'!I49</f>
        <v>18:15 - 20:15</v>
      </c>
      <c r="J216" s="6" t="str">
        <f aca="false">'WR LLB'!J49</f>
        <v>c-1.11,c-1.13</v>
      </c>
      <c r="K216" s="9" t="str">
        <f aca="false">'WR LLB'!K49</f>
        <v>Tietz, Jan Sebastian, Herr (LBA) - 1.000 SWS;Haas, Ingeborg, Frau Prof. Dr. (Prof) - 1.500 SWS;Baldus, Bianca, Frau Prof. Dr. (Prof) - 1.500 SWS</v>
      </c>
    </row>
    <row r="217" customFormat="false" ht="26.85" hidden="false" customHeight="false" outlineLevel="0" collapsed="false">
      <c r="A217" s="6" t="str">
        <f aca="false">'AI VZ u. AIOED BSc dual'!A30</f>
        <v>20252</v>
      </c>
      <c r="B217" s="6" t="str">
        <f aca="false">'AI VZ u. AIOED BSc dual'!B30</f>
        <v>938/D04-2305 (A)</v>
      </c>
      <c r="C217" s="6" t="str">
        <f aca="false">'AI VZ u. AIOED BSc dual'!C30</f>
        <v>IT Sicherheit</v>
      </c>
      <c r="D217" s="6" t="n">
        <f aca="false">'AI VZ u. AIOED BSc dual'!D30</f>
        <v>1305</v>
      </c>
      <c r="E217" s="6" t="n">
        <f aca="false">'AI VZ u. AIOED BSc dual'!E30</f>
        <v>38</v>
      </c>
      <c r="F217" s="6" t="n">
        <f aca="false">'AI VZ u. AIOED BSc dual'!F30</f>
        <v>0</v>
      </c>
      <c r="G217" s="6" t="str">
        <f aca="false">'AI VZ u. AIOED BSc dual'!G30</f>
        <v>2-Do</v>
      </c>
      <c r="H217" s="8" t="n">
        <f aca="false">'AI VZ u. AIOED BSc dual'!H30</f>
        <v>46051</v>
      </c>
      <c r="I217" s="6" t="str">
        <f aca="false">'AI VZ u. AIOED BSc dual'!I30</f>
        <v>08:15 - 09:45</v>
      </c>
      <c r="J217" s="6" t="str">
        <f aca="false">'AI VZ u. AIOED BSc dual'!J30</f>
        <v>c3.10, c3.08</v>
      </c>
      <c r="K217" s="9" t="str">
        <f aca="false">'AI VZ u. AIOED BSc dual'!K30</f>
        <v>Rohlmann, Simon, Herr Dr. (Prof) - 2.000 SWS;Kuntze, Nicolai, Herr Prof. Dr. (Prof) - 2.000 SWS</v>
      </c>
      <c r="M217" s="1" t="n">
        <f aca="false">'DIM VZ u. dual BSc'!L20</f>
        <v>0</v>
      </c>
    </row>
    <row r="218" customFormat="false" ht="14.15" hidden="false" customHeight="false" outlineLevel="0" collapsed="false">
      <c r="A218" s="6" t="str">
        <f aca="false">'AI VZ u. AIOED BSc dual'!A31</f>
        <v>20252</v>
      </c>
      <c r="B218" s="6" t="str">
        <f aca="false">'AI VZ u. AIOED BSc dual'!B31</f>
        <v>938/D04-2305 (B)</v>
      </c>
      <c r="C218" s="6" t="str">
        <f aca="false">'AI VZ u. AIOED BSc dual'!C31</f>
        <v>IT Sicherheit</v>
      </c>
      <c r="D218" s="6" t="n">
        <f aca="false">'AI VZ u. AIOED BSc dual'!D31</f>
        <v>0</v>
      </c>
      <c r="E218" s="6" t="n">
        <f aca="false">'AI VZ u. AIOED BSc dual'!E31</f>
        <v>25</v>
      </c>
      <c r="F218" s="6" t="n">
        <f aca="false">'AI VZ u. AIOED BSc dual'!F31</f>
        <v>0</v>
      </c>
      <c r="G218" s="6" t="str">
        <f aca="false">'AI VZ u. AIOED BSc dual'!G31</f>
        <v>2-Do</v>
      </c>
      <c r="H218" s="8" t="n">
        <f aca="false">'AI VZ u. AIOED BSc dual'!H31</f>
        <v>46051</v>
      </c>
      <c r="I218" s="6" t="str">
        <f aca="false">'AI VZ u. AIOED BSc dual'!I31</f>
        <v>08:15 - 09:45</v>
      </c>
      <c r="J218" s="6" t="str">
        <f aca="false">'AI VZ u. AIOED BSc dual'!J31</f>
        <v>c3.08, c3.06</v>
      </c>
      <c r="K218" s="9" t="str">
        <f aca="false">'AI VZ u. AIOED BSc dual'!K31</f>
        <v>Rohlmann, Simon, Herr Dr. (Prof) - 4.000 SWS</v>
      </c>
    </row>
    <row r="219" customFormat="false" ht="14.15" hidden="false" customHeight="false" outlineLevel="0" collapsed="false">
      <c r="A219" s="6" t="str">
        <f aca="false">'DIM VZ u. dual BSc'!A5</f>
        <v>20252</v>
      </c>
      <c r="B219" s="6" t="str">
        <f aca="false">'DIM VZ u. dual BSc'!B5</f>
        <v>D01/D08-2103</v>
      </c>
      <c r="C219" s="6" t="str">
        <f aca="false">'DIM VZ u. dual BSc'!C5</f>
        <v>Grundlagen Medienmanagement</v>
      </c>
      <c r="D219" s="6" t="n">
        <f aca="false">'DIM VZ u. dual BSc'!D5</f>
        <v>0</v>
      </c>
      <c r="E219" s="6" t="n">
        <f aca="false">'DIM VZ u. dual BSc'!E5</f>
        <v>42</v>
      </c>
      <c r="F219" s="6" t="n">
        <f aca="false">'DIM VZ u. dual BSc'!F5</f>
        <v>0</v>
      </c>
      <c r="G219" s="6" t="str">
        <f aca="false">'DIM VZ u. dual BSc'!G5</f>
        <v>2-Do</v>
      </c>
      <c r="H219" s="8" t="n">
        <f aca="false">'DIM VZ u. dual BSc'!H5</f>
        <v>46051</v>
      </c>
      <c r="I219" s="6" t="str">
        <f aca="false">'DIM VZ u. dual BSc'!I5</f>
        <v>11:00 - 12:30</v>
      </c>
      <c r="J219" s="6" t="str">
        <f aca="false">'DIM VZ u. dual BSc'!J5</f>
        <v>c-1.11,c-1.13</v>
      </c>
      <c r="K219" s="9" t="str">
        <f aca="false">'DIM VZ u. dual BSc'!K5</f>
        <v>Pagel, Sven, Herr Prof. Dr. (Prof) - 3.000 SWS</v>
      </c>
      <c r="M219" s="1" t="n">
        <f aca="false">'DIM VZ u. dual BSc'!L21</f>
        <v>0</v>
      </c>
    </row>
    <row r="220" customFormat="false" ht="14.15" hidden="false" customHeight="false" outlineLevel="0" collapsed="false">
      <c r="A220" s="6" t="str">
        <f aca="false">'DIM VZ u. dual BSc'!A21</f>
        <v>20252</v>
      </c>
      <c r="B220" s="6" t="str">
        <f aca="false">'DIM VZ u. dual BSc'!B21</f>
        <v>D01-2303</v>
      </c>
      <c r="C220" s="9" t="str">
        <f aca="false">'DIM VZ u. dual BSc'!C21</f>
        <v>Rechnungswesen I (Grundlagen des Rechnungswesens)</v>
      </c>
      <c r="D220" s="6" t="n">
        <f aca="false">'DIM VZ u. dual BSc'!D21</f>
        <v>0</v>
      </c>
      <c r="E220" s="6" t="n">
        <f aca="false">'DIM VZ u. dual BSc'!E21</f>
        <v>27</v>
      </c>
      <c r="F220" s="6" t="n">
        <f aca="false">'DIM VZ u. dual BSc'!F21</f>
        <v>0</v>
      </c>
      <c r="G220" s="6" t="str">
        <f aca="false">'DIM VZ u. dual BSc'!G21</f>
        <v>2-Do</v>
      </c>
      <c r="H220" s="8" t="n">
        <f aca="false">'DIM VZ u. dual BSc'!H21</f>
        <v>46051</v>
      </c>
      <c r="I220" s="6" t="str">
        <f aca="false">'DIM VZ u. dual BSc'!I21</f>
        <v>08:15 - 09:45</v>
      </c>
      <c r="J220" s="6" t="str">
        <f aca="false">'DIM VZ u. dual BSc'!J21</f>
        <v>d1.08/d1.10</v>
      </c>
      <c r="K220" s="9" t="str">
        <f aca="false">'DIM VZ u. dual BSc'!K21</f>
        <v>Flegel, Felix, Herr (LBA) - 4.000 SWS</v>
      </c>
    </row>
    <row r="221" customFormat="false" ht="14.15" hidden="false" customHeight="false" outlineLevel="0" collapsed="false">
      <c r="A221" s="6" t="str">
        <f aca="false">'DIM VZ u. dual BSc'!A22</f>
        <v>20252</v>
      </c>
      <c r="B221" s="6" t="str">
        <f aca="false">'DIM VZ u. dual BSc'!B22</f>
        <v>D08-2303</v>
      </c>
      <c r="C221" s="9" t="str">
        <f aca="false">'DIM VZ u. dual BSc'!C22</f>
        <v>Rechnungswesen I (Grundlagen des Rechnungswesens)</v>
      </c>
      <c r="D221" s="6" t="n">
        <f aca="false">'DIM VZ u. dual BSc'!D22</f>
        <v>0</v>
      </c>
      <c r="E221" s="6" t="n">
        <f aca="false">'DIM VZ u. dual BSc'!E22</f>
        <v>5</v>
      </c>
      <c r="F221" s="6" t="n">
        <f aca="false">'DIM VZ u. dual BSc'!F22</f>
        <v>0</v>
      </c>
      <c r="G221" s="6" t="str">
        <f aca="false">'DIM VZ u. dual BSc'!G22</f>
        <v>2-Do</v>
      </c>
      <c r="H221" s="8" t="n">
        <f aca="false">'DIM VZ u. dual BSc'!H22</f>
        <v>46051</v>
      </c>
      <c r="I221" s="6" t="str">
        <f aca="false">'DIM VZ u. dual BSc'!I22</f>
        <v>08:15 - 09:45</v>
      </c>
      <c r="J221" s="6" t="str">
        <f aca="false">'DIM VZ u. dual BSc'!J22</f>
        <v>b1.01/b1.03</v>
      </c>
      <c r="K221" s="9" t="str">
        <f aca="false">'DIM VZ u. dual BSc'!K22</f>
        <v>Lennartz, Wolfgang, Herr Prof. Dr. (Prof) - 4.000 SWS</v>
      </c>
      <c r="M221" s="1" t="n">
        <f aca="false">'DIM VZ u. dual BSc'!L22</f>
        <v>0</v>
      </c>
    </row>
    <row r="222" customFormat="false" ht="14.15" hidden="false" customHeight="false" outlineLevel="0" collapsed="false">
      <c r="A222" s="6" t="str">
        <f aca="false">'DIM VZ u. dual BSc'!A35</f>
        <v>w</v>
      </c>
      <c r="B222" s="6" t="str">
        <f aca="false">'DIM VZ u. dual BSc'!B35</f>
        <v>D01/D08-2602</v>
      </c>
      <c r="C222" s="6" t="str">
        <f aca="false">'DIM VZ u. dual BSc'!C35</f>
        <v>IT Sicherheit</v>
      </c>
      <c r="D222" s="6" t="n">
        <f aca="false">'DIM VZ u. dual BSc'!D35</f>
        <v>0</v>
      </c>
      <c r="E222" s="6" t="n">
        <f aca="false">'DIM VZ u. dual BSc'!E35</f>
        <v>2</v>
      </c>
      <c r="F222" s="6" t="n">
        <f aca="false">'DIM VZ u. dual BSc'!F35</f>
        <v>0</v>
      </c>
      <c r="G222" s="6" t="str">
        <f aca="false">'DIM VZ u. dual BSc'!G35</f>
        <v>2-Do</v>
      </c>
      <c r="H222" s="8" t="n">
        <f aca="false">'DIM VZ u. dual BSc'!H35</f>
        <v>46051</v>
      </c>
      <c r="I222" s="6" t="str">
        <f aca="false">'DIM VZ u. dual BSc'!I35</f>
        <v>10:15 - 11:45</v>
      </c>
      <c r="J222" s="6" t="str">
        <f aca="false">'DIM VZ u. dual BSc'!J35</f>
        <v>a3.04</v>
      </c>
      <c r="K222" s="9" t="str">
        <f aca="false">'DIM VZ u. dual BSc'!K35</f>
        <v>Kuntze, Nicolai, Herr Prof. Dr. (Prof) - 4.000 SWS</v>
      </c>
    </row>
    <row r="223" customFormat="false" ht="14.15" hidden="false" customHeight="false" outlineLevel="0" collapsed="false">
      <c r="A223" s="6" t="str">
        <f aca="false">'CSM BSc'!A3</f>
        <v>20252</v>
      </c>
      <c r="B223" s="6" t="str">
        <f aca="false">'CSM BSc'!B3</f>
        <v>F25B-102</v>
      </c>
      <c r="C223" s="6" t="str">
        <f aca="false">'CSM BSc'!C3</f>
        <v>Grundlagen der Informatik</v>
      </c>
      <c r="D223" s="6" t="n">
        <f aca="false">'CSM BSc'!D3</f>
        <v>0</v>
      </c>
      <c r="E223" s="6" t="n">
        <f aca="false">'CSM BSc'!E3</f>
        <v>27</v>
      </c>
      <c r="F223" s="6" t="n">
        <f aca="false">'CSM BSc'!F3</f>
        <v>0</v>
      </c>
      <c r="G223" s="6" t="str">
        <f aca="false">'CSM BSc'!G3</f>
        <v>2-Do</v>
      </c>
      <c r="H223" s="8" t="n">
        <f aca="false">'CSM BSc'!H3</f>
        <v>46051</v>
      </c>
      <c r="I223" s="6" t="str">
        <f aca="false">'CSM BSc'!I3</f>
        <v>11:45 - 13:15</v>
      </c>
      <c r="J223" s="6" t="str">
        <f aca="false">'CSM BSc'!J3</f>
        <v>d0.03</v>
      </c>
      <c r="K223" s="9" t="str">
        <f aca="false">'CSM BSc'!K3</f>
        <v>Schweim, Dirk, Herr Prof. Dr. (Prof) - 4.000 SWS</v>
      </c>
      <c r="M223" s="1" t="n">
        <f aca="false">'DIM VZ u. dual BSc'!L24</f>
        <v>0</v>
      </c>
    </row>
    <row r="224" customFormat="false" ht="14.15" hidden="false" customHeight="false" outlineLevel="0" collapsed="false">
      <c r="A224" s="6" t="str">
        <f aca="false">Optionen!A54</f>
        <v>20252</v>
      </c>
      <c r="B224" s="6" t="str">
        <f aca="false">Optionen!B54</f>
        <v>000-28034</v>
      </c>
      <c r="C224" s="9" t="str">
        <f aca="false">Optionen!C54</f>
        <v>Wirtschaftsprüfung</v>
      </c>
      <c r="D224" s="6" t="n">
        <f aca="false">Optionen!D54</f>
        <v>0</v>
      </c>
      <c r="E224" s="6" t="n">
        <f aca="false">Optionen!E54</f>
        <v>17</v>
      </c>
      <c r="F224" s="6" t="n">
        <f aca="false">Optionen!F54</f>
        <v>0</v>
      </c>
      <c r="G224" s="6" t="str">
        <f aca="false">Optionen!G54</f>
        <v>2-Do</v>
      </c>
      <c r="H224" s="8" t="n">
        <f aca="false">Optionen!H54</f>
        <v>46051</v>
      </c>
      <c r="I224" s="6" t="str">
        <f aca="false">Optionen!I54</f>
        <v>16:00 - 18:00</v>
      </c>
      <c r="J224" s="6" t="str">
        <f aca="false">Optionen!J54</f>
        <v>c3.08</v>
      </c>
      <c r="K224" s="9" t="str">
        <f aca="false">Optionen!K54</f>
        <v>Flick, Caroline, Frau Prof. Dr. (Prof) - 4.000 SWS</v>
      </c>
      <c r="M224" s="1" t="n">
        <f aca="false">'DIM VZ u. dual BSc'!L25</f>
        <v>0</v>
      </c>
    </row>
    <row r="225" customFormat="false" ht="14.15" hidden="false" customHeight="false" outlineLevel="0" collapsed="false">
      <c r="A225" s="6" t="str">
        <f aca="false">'WR LLM'!A12</f>
        <v>20252</v>
      </c>
      <c r="B225" s="6" t="str">
        <f aca="false">'WR LLM'!B12</f>
        <v>932-60204</v>
      </c>
      <c r="C225" s="6" t="str">
        <f aca="false">'WR LLM'!C12</f>
        <v>Gerichtlicher Rechtsschutz</v>
      </c>
      <c r="D225" s="6" t="n">
        <f aca="false">'WR LLM'!D12</f>
        <v>0</v>
      </c>
      <c r="E225" s="6" t="n">
        <f aca="false">'WR LLM'!E12</f>
        <v>22</v>
      </c>
      <c r="F225" s="6" t="str">
        <f aca="false">'WR LLM'!F12</f>
        <v>30 Minuten</v>
      </c>
      <c r="G225" s="6" t="str">
        <f aca="false">'WR LLM'!G12</f>
        <v>2-Do</v>
      </c>
      <c r="H225" s="8" t="n">
        <f aca="false">'WR LLM'!H12</f>
        <v>46051</v>
      </c>
      <c r="I225" s="6" t="str">
        <f aca="false">'WR LLM'!I12</f>
        <v>16:15 - 18:15</v>
      </c>
      <c r="J225" s="6" t="str">
        <f aca="false">'WR LLM'!J12</f>
        <v>c3.04</v>
      </c>
      <c r="K225" s="9" t="str">
        <f aca="false">'WR LLM'!K12</f>
        <v>Wall, Daniel, Herr (LBA) - 4.000 SWS</v>
      </c>
      <c r="M225" s="1" t="n">
        <f aca="false">'DIM VZ u. dual BSc'!L26</f>
        <v>0</v>
      </c>
    </row>
    <row r="226" customFormat="false" ht="14.15" hidden="false" customHeight="false" outlineLevel="0" collapsed="false">
      <c r="A226" s="6" t="str">
        <f aca="false">'Management MSc'!A7</f>
        <v>20252</v>
      </c>
      <c r="B226" s="6" t="str">
        <f aca="false">'Management MSc'!B7</f>
        <v>996-61202</v>
      </c>
      <c r="C226" s="9" t="str">
        <f aca="false">'Management MSc'!C7</f>
        <v>Supply Chain Management</v>
      </c>
      <c r="D226" s="6" t="n">
        <f aca="false">'Management MSc'!D7</f>
        <v>60202</v>
      </c>
      <c r="E226" s="6" t="n">
        <f aca="false">'Management MSc'!E7</f>
        <v>13</v>
      </c>
      <c r="F226" s="6" t="n">
        <f aca="false">'Management MSc'!F7</f>
        <v>0</v>
      </c>
      <c r="G226" s="6" t="str">
        <f aca="false">'Management MSc'!G7</f>
        <v>2-Do</v>
      </c>
      <c r="H226" s="8" t="n">
        <f aca="false">'Management MSc'!H7</f>
        <v>46051</v>
      </c>
      <c r="I226" s="6" t="str">
        <f aca="false">'Management MSc'!I7</f>
        <v>09:30 - 11:30</v>
      </c>
      <c r="J226" s="6" t="str">
        <f aca="false">'Management MSc'!J7</f>
        <v>a3.08</v>
      </c>
      <c r="K226" s="9" t="str">
        <f aca="false">'Management MSc'!K7</f>
        <v>Berbner, Ulrich, Herr Prof. Dr. (Prof) - 4.000 SWS</v>
      </c>
      <c r="M226" s="1" t="n">
        <f aca="false">'DIM VZ u. dual BSc'!L27</f>
        <v>0</v>
      </c>
    </row>
    <row r="227" customFormat="false" ht="14.15" hidden="false" customHeight="false" outlineLevel="0" collapsed="false">
      <c r="A227" s="6" t="str">
        <f aca="false">'IB &amp; IMLA MA'!A25</f>
        <v>20252</v>
      </c>
      <c r="B227" s="6" t="str">
        <f aca="false">'IB &amp; IMLA MA'!B25</f>
        <v>964M-106-PE</v>
      </c>
      <c r="C227" s="6" t="str">
        <f aca="false">'IB &amp; IMLA MA'!C25</f>
        <v>International Business Law</v>
      </c>
      <c r="D227" s="7" t="str">
        <f aca="false">'IB &amp; IMLA MA'!D25</f>
        <v>B09-60254, 964-60254</v>
      </c>
      <c r="E227" s="6" t="n">
        <f aca="false">'IB &amp; IMLA MA'!E25</f>
        <v>34</v>
      </c>
      <c r="F227" s="6" t="n">
        <f aca="false">'IB &amp; IMLA MA'!F25</f>
        <v>0</v>
      </c>
      <c r="G227" s="6" t="str">
        <f aca="false">'IB &amp; IMLA MA'!G25</f>
        <v>2-Do</v>
      </c>
      <c r="H227" s="8" t="n">
        <f aca="false">'IB &amp; IMLA MA'!H25</f>
        <v>46051</v>
      </c>
      <c r="I227" s="6" t="str">
        <f aca="false">'IB &amp; IMLA MA'!I25</f>
        <v>09:30 - 11:30</v>
      </c>
      <c r="J227" s="6" t="str">
        <f aca="false">'IB &amp; IMLA MA'!J25</f>
        <v>Aula</v>
      </c>
      <c r="K227" s="9" t="str">
        <f aca="false">'IB &amp; IMLA MA'!K25</f>
        <v>Reich, Anke, Frau Prof. Dr. (Prof) - 2.000 SWS</v>
      </c>
      <c r="M227" s="1" t="n">
        <f aca="false">'DIM VZ u. dual BSc'!L28</f>
        <v>0</v>
      </c>
    </row>
    <row r="228" customFormat="false" ht="14.15" hidden="false" customHeight="false" outlineLevel="0" collapsed="false">
      <c r="A228" s="6" t="str">
        <f aca="false">'IB &amp; IMLA MA'!A27</f>
        <v>20252</v>
      </c>
      <c r="B228" s="6" t="str">
        <f aca="false">'IB &amp; IMLA MA'!B27</f>
        <v>F39M-104-PE</v>
      </c>
      <c r="C228" s="6" t="str">
        <f aca="false">'IB &amp; IMLA MA'!C27</f>
        <v>International Business Law</v>
      </c>
      <c r="D228" s="6" t="n">
        <f aca="false">'IB &amp; IMLA MA'!D27</f>
        <v>0</v>
      </c>
      <c r="E228" s="6" t="n">
        <f aca="false">'IB &amp; IMLA MA'!E27</f>
        <v>11</v>
      </c>
      <c r="F228" s="6" t="n">
        <f aca="false">'IB &amp; IMLA MA'!F27</f>
        <v>0</v>
      </c>
      <c r="G228" s="6" t="str">
        <f aca="false">'IB &amp; IMLA MA'!G27</f>
        <v>2-Do</v>
      </c>
      <c r="H228" s="8" t="n">
        <f aca="false">'IB &amp; IMLA MA'!H27</f>
        <v>46051</v>
      </c>
      <c r="I228" s="6" t="str">
        <f aca="false">'IB &amp; IMLA MA'!I27</f>
        <v>09:30 - 11:30</v>
      </c>
      <c r="J228" s="6" t="str">
        <f aca="false">'IB &amp; IMLA MA'!J27</f>
        <v>Aula</v>
      </c>
      <c r="K228" s="9" t="str">
        <f aca="false">'IB &amp; IMLA MA'!K27</f>
        <v>Reich, Anke, Frau Prof. Dr. (Prof) - 2.000 SWS</v>
      </c>
      <c r="M228" s="1" t="n">
        <f aca="false">'DIM VZ u. dual BSc'!L29</f>
        <v>0</v>
      </c>
    </row>
    <row r="229" customFormat="false" ht="26.85" hidden="false" customHeight="false" outlineLevel="0" collapsed="false">
      <c r="A229" s="6" t="str">
        <f aca="false">'IMFA MSc'!A2</f>
        <v>20252</v>
      </c>
      <c r="B229" s="6" t="str">
        <f aca="false">'IMFA MSc'!B2</f>
        <v>F43M-301-PE</v>
      </c>
      <c r="C229" s="9" t="str">
        <f aca="false">'IMFA MSc'!C2</f>
        <v>Strategic Management (Klausur) &amp; International Business (Präsentationen)</v>
      </c>
      <c r="D229" s="7" t="str">
        <f aca="false">'IMFA MSc'!D2</f>
        <v>B15-60303, 52303, 964-60255, B09-60354</v>
      </c>
      <c r="E229" s="6" t="n">
        <f aca="false">'IMFA MSc'!E2</f>
        <v>24</v>
      </c>
      <c r="F229" s="6" t="n">
        <f aca="false">'IMFA MSc'!F2</f>
        <v>0</v>
      </c>
      <c r="G229" s="6" t="str">
        <f aca="false">'IMFA MSc'!G2</f>
        <v>2-Do</v>
      </c>
      <c r="H229" s="8" t="n">
        <f aca="false">'IMFA MSc'!H2</f>
        <v>46051</v>
      </c>
      <c r="I229" s="6" t="str">
        <f aca="false">'IMFA MSc'!I2</f>
        <v>13:45 - 15:45</v>
      </c>
      <c r="J229" s="6" t="str">
        <f aca="false">'IMFA MSc'!J2</f>
        <v>d1.08/d1.10</v>
      </c>
      <c r="K229" s="9" t="str">
        <f aca="false">'IMFA MSc'!K2</f>
        <v>Timmer, Stéphane, Herr Prof. Dr. (LBA) - 2.000 SWS;Schrank, Randolf, Herr Prof. Dr. (Prof) - 4.000 SWS</v>
      </c>
      <c r="M229" s="1" t="n">
        <f aca="false">'DIM VZ u. dual BSc'!L30</f>
        <v>0</v>
      </c>
    </row>
    <row r="230" customFormat="false" ht="14.15" hidden="false" customHeight="false" outlineLevel="0" collapsed="false">
      <c r="A230" s="6" t="str">
        <f aca="false">'BA MSc'!A20</f>
        <v>20252</v>
      </c>
      <c r="B230" s="6" t="str">
        <f aca="false">'BA MSc'!B20</f>
        <v>A23-70305</v>
      </c>
      <c r="C230" s="9" t="str">
        <f aca="false">'BA MSc'!C20</f>
        <v>Controlling</v>
      </c>
      <c r="D230" s="7" t="str">
        <f aca="false">'BA MSc'!D20</f>
        <v>60305, 52305</v>
      </c>
      <c r="E230" s="6" t="n">
        <f aca="false">'BA MSc'!E20</f>
        <v>23</v>
      </c>
      <c r="F230" s="6" t="n">
        <f aca="false">'BA MSc'!F20</f>
        <v>0</v>
      </c>
      <c r="G230" s="6" t="str">
        <f aca="false">'BA MSc'!G20</f>
        <v>2-Do</v>
      </c>
      <c r="H230" s="8" t="n">
        <f aca="false">'BA MSc'!H20</f>
        <v>46051</v>
      </c>
      <c r="I230" s="6" t="str">
        <f aca="false">'BA MSc'!I20</f>
        <v>11:30 - 13:30</v>
      </c>
      <c r="J230" s="6" t="str">
        <f aca="false">'BA MSc'!J20</f>
        <v>c3.10</v>
      </c>
      <c r="K230" s="9" t="str">
        <f aca="false">'BA MSc'!K20</f>
        <v>Fischbach, Sven, Herr Prof. Dr. (Prof) - 3.000 SWS</v>
      </c>
      <c r="M230" s="1" t="n">
        <f aca="false">'DIM VZ u. dual BSc'!L36</f>
        <v>0</v>
      </c>
    </row>
    <row r="231" customFormat="false" ht="13.8" hidden="false" customHeight="false" outlineLevel="0" collapsed="false">
      <c r="A231" s="6" t="str">
        <f aca="false">'IB &amp; IMLA MA'!A26</f>
        <v>w</v>
      </c>
      <c r="B231" s="6" t="str">
        <f aca="false">'IB &amp; IMLA MA'!B26</f>
        <v>964-60254</v>
      </c>
      <c r="C231" s="6" t="str">
        <f aca="false">'IB &amp; IMLA MA'!C26</f>
        <v>International Business Law</v>
      </c>
      <c r="D231" s="7" t="str">
        <f aca="false">'IB &amp; IMLA MA'!D26</f>
        <v>964M-106-PE</v>
      </c>
      <c r="E231" s="6" t="n">
        <f aca="false">'IB &amp; IMLA MA'!E26</f>
        <v>7</v>
      </c>
      <c r="F231" s="6" t="n">
        <f aca="false">'IB &amp; IMLA MA'!F26</f>
        <v>0</v>
      </c>
      <c r="G231" s="6" t="str">
        <f aca="false">'IB &amp; IMLA MA'!G26</f>
        <v>2-Do</v>
      </c>
      <c r="H231" s="8" t="n">
        <f aca="false">'IB &amp; IMLA MA'!H26</f>
        <v>46051</v>
      </c>
      <c r="I231" s="6" t="str">
        <f aca="false">'IB &amp; IMLA MA'!I26</f>
        <v>09:30 - 11:30</v>
      </c>
      <c r="J231" s="6" t="str">
        <f aca="false">'IB &amp; IMLA MA'!J26</f>
        <v>Aula</v>
      </c>
      <c r="K231" s="6" t="str">
        <f aca="false">'IB &amp; IMLA MA'!K26</f>
        <v>Reich, Anke, Frau Prof. Dr. (Prof) - 2.000 SWS</v>
      </c>
      <c r="M231" s="1" t="n">
        <f aca="false">'DIM VZ u. dual BSc'!L37</f>
        <v>0</v>
      </c>
    </row>
    <row r="232" customFormat="false" ht="13.8" hidden="false" customHeight="false" outlineLevel="0" collapsed="false">
      <c r="A232" s="6" t="str">
        <f aca="false">'WPFS Bachelor'!A28</f>
        <v>20252</v>
      </c>
      <c r="B232" s="6" t="str">
        <f aca="false">'WPFS Bachelor'!B28</f>
        <v>001-907015 (A)</v>
      </c>
      <c r="C232" s="6" t="str">
        <f aca="false">'WPFS Bachelor'!C28</f>
        <v>Deutsch A1.1</v>
      </c>
      <c r="D232" s="7" t="n">
        <f aca="false">'WPFS Bachelor'!D28</f>
        <v>0</v>
      </c>
      <c r="E232" s="6" t="n">
        <f aca="false">'WPFS Bachelor'!E28</f>
        <v>16</v>
      </c>
      <c r="F232" s="6" t="n">
        <f aca="false">'WPFS Bachelor'!F28</f>
        <v>0</v>
      </c>
      <c r="G232" s="6" t="str">
        <f aca="false">'WPFS Bachelor'!G28</f>
        <v>2-Fr</v>
      </c>
      <c r="H232" s="8" t="n">
        <f aca="false">'WPFS Bachelor'!H28</f>
        <v>46052</v>
      </c>
      <c r="I232" s="6" t="str">
        <f aca="false">'WPFS Bachelor'!I28</f>
        <v>07:45 - 09:15</v>
      </c>
      <c r="J232" s="6" t="str">
        <f aca="false">'WPFS Bachelor'!J28</f>
        <v>c3.06</v>
      </c>
      <c r="K232" s="9" t="str">
        <f aca="false">'WPFS Bachelor'!K28</f>
        <v>Kromer, Tilman, Herr (LKfbA) - 4.000 SWS</v>
      </c>
      <c r="M232" s="1" t="n">
        <f aca="false">'IB BSc'!M2</f>
        <v>0</v>
      </c>
    </row>
    <row r="233" customFormat="false" ht="13.8" hidden="false" customHeight="false" outlineLevel="0" collapsed="false">
      <c r="A233" s="6" t="str">
        <f aca="false">'WR LLB'!A28</f>
        <v>20252</v>
      </c>
      <c r="B233" s="6" t="str">
        <f aca="false">'WR LLB'!B28</f>
        <v>932-2203</v>
      </c>
      <c r="C233" s="9" t="str">
        <f aca="false">'WR LLB'!C28</f>
        <v>Handels- und Personengesellschaftsrecht</v>
      </c>
      <c r="D233" s="7" t="str">
        <f aca="false">'WR LLB'!D28</f>
        <v>042B-202-P</v>
      </c>
      <c r="E233" s="6" t="n">
        <f aca="false">'WR LLB'!E28</f>
        <v>58</v>
      </c>
      <c r="F233" s="6" t="str">
        <f aca="false">'WR LLB'!F28</f>
        <v>2 Stunden</v>
      </c>
      <c r="G233" s="6" t="str">
        <f aca="false">'WR LLB'!G28</f>
        <v>2-Fr</v>
      </c>
      <c r="H233" s="8" t="n">
        <f aca="false">'WR LLB'!H28</f>
        <v>46052</v>
      </c>
      <c r="I233" s="6" t="str">
        <f aca="false">'WR LLB'!I28</f>
        <v>09:30 - 11:30</v>
      </c>
      <c r="J233" s="6" t="str">
        <f aca="false">'WR LLB'!J28</f>
        <v>Aula, A0.12</v>
      </c>
      <c r="K233" s="9" t="str">
        <f aca="false">'WR LLB'!K28</f>
        <v>Reich, Anke, Frau Prof. Dr. (Prof) - 4.000 SWS</v>
      </c>
      <c r="M233" s="1" t="n">
        <f aca="false">'IB BSc'!M3</f>
        <v>0</v>
      </c>
    </row>
    <row r="234" customFormat="false" ht="13.8" hidden="false" customHeight="false" outlineLevel="0" collapsed="false">
      <c r="A234" s="6" t="str">
        <f aca="false">'DIM VZ u. dual BSc'!A25</f>
        <v>w</v>
      </c>
      <c r="B234" s="6" t="str">
        <f aca="false">'DIM VZ u. dual BSc'!B25</f>
        <v>D08-2403</v>
      </c>
      <c r="C234" s="9" t="str">
        <f aca="false">'DIM VZ u. dual BSc'!C25</f>
        <v>Rechnungswesen II (Investition und Finanzierung)</v>
      </c>
      <c r="D234" s="6" t="n">
        <f aca="false">'DIM VZ u. dual BSc'!D25</f>
        <v>0</v>
      </c>
      <c r="E234" s="6" t="n">
        <f aca="false">'DIM VZ u. dual BSc'!E25</f>
        <v>1</v>
      </c>
      <c r="F234" s="6" t="n">
        <f aca="false">'DIM VZ u. dual BSc'!F25</f>
        <v>0</v>
      </c>
      <c r="G234" s="6" t="str">
        <f aca="false">'DIM VZ u. dual BSc'!G25</f>
        <v>2-Fr</v>
      </c>
      <c r="H234" s="8" t="n">
        <f aca="false">'DIM VZ u. dual BSc'!H25</f>
        <v>46052</v>
      </c>
      <c r="I234" s="6" t="str">
        <f aca="false">'DIM VZ u. dual BSc'!I25</f>
        <v>09:30 - 11:00</v>
      </c>
      <c r="J234" s="6" t="str">
        <f aca="false">'DIM VZ u. dual BSc'!J25</f>
        <v>a3.08</v>
      </c>
      <c r="K234" s="9" t="str">
        <f aca="false">'DIM VZ u. dual BSc'!K25</f>
        <v>Lennartz, Wolfgang, Herr Prof. Dr. (Prof) - 4.000 SWS</v>
      </c>
      <c r="M234" s="1" t="n">
        <f aca="false">'IB BSc'!M4</f>
        <v>0</v>
      </c>
    </row>
    <row r="235" customFormat="false" ht="13.8" hidden="false" customHeight="false" outlineLevel="0" collapsed="false">
      <c r="A235" s="6" t="str">
        <f aca="false">'DIM VZ u. dual BSc'!A26</f>
        <v>w</v>
      </c>
      <c r="B235" s="6" t="str">
        <f aca="false">'DIM VZ u. dual BSc'!B26</f>
        <v>D01-2403</v>
      </c>
      <c r="C235" s="9" t="str">
        <f aca="false">'DIM VZ u. dual BSc'!C26</f>
        <v>Rechnungswesen II (Investition und Finanzierung)</v>
      </c>
      <c r="D235" s="6" t="n">
        <f aca="false">'DIM VZ u. dual BSc'!D26</f>
        <v>0</v>
      </c>
      <c r="E235" s="6" t="n">
        <f aca="false">'DIM VZ u. dual BSc'!E26</f>
        <v>6</v>
      </c>
      <c r="F235" s="6" t="n">
        <f aca="false">'DIM VZ u. dual BSc'!F26</f>
        <v>0</v>
      </c>
      <c r="G235" s="6" t="str">
        <f aca="false">'DIM VZ u. dual BSc'!G26</f>
        <v>2-Fr</v>
      </c>
      <c r="H235" s="8" t="n">
        <f aca="false">'DIM VZ u. dual BSc'!H26</f>
        <v>46052</v>
      </c>
      <c r="I235" s="6" t="str">
        <f aca="false">'DIM VZ u. dual BSc'!I26</f>
        <v>09:30 - 11:00</v>
      </c>
      <c r="J235" s="6" t="str">
        <f aca="false">'DIM VZ u. dual BSc'!J26</f>
        <v>a3.08</v>
      </c>
      <c r="K235" s="9" t="str">
        <f aca="false">'DIM VZ u. dual BSc'!K26</f>
        <v>Flegel, Felix, Herr (LBA) - 4.000 SWS</v>
      </c>
      <c r="L235" s="1" t="n">
        <f aca="false">'IB BSc'!L5</f>
        <v>0</v>
      </c>
      <c r="M235" s="1" t="n">
        <f aca="false">'IB BSc'!M5</f>
        <v>0</v>
      </c>
    </row>
    <row r="236" customFormat="false" ht="13.8" hidden="false" customHeight="false" outlineLevel="0" collapsed="false">
      <c r="A236" s="6" t="str">
        <f aca="false">'WPFS Bachelor'!A8</f>
        <v>w</v>
      </c>
      <c r="B236" s="6" t="str">
        <f aca="false">'WPFS Bachelor'!B8</f>
        <v>001-900025</v>
      </c>
      <c r="C236" s="6" t="str">
        <f aca="false">'WPFS Bachelor'!C8</f>
        <v>Französisch A1.2</v>
      </c>
      <c r="D236" s="7" t="str">
        <f aca="false">'WPFS Bachelor'!D8</f>
        <v>001-900023</v>
      </c>
      <c r="E236" s="6" t="n">
        <f aca="false">'WPFS Bachelor'!E8</f>
        <v>3</v>
      </c>
      <c r="F236" s="6" t="n">
        <f aca="false">'WPFS Bachelor'!F8</f>
        <v>0</v>
      </c>
      <c r="G236" s="6" t="str">
        <f aca="false">'WPFS Bachelor'!G8</f>
        <v>2-Fr</v>
      </c>
      <c r="H236" s="8" t="n">
        <f aca="false">'WPFS Bachelor'!H8</f>
        <v>46052</v>
      </c>
      <c r="I236" s="6" t="str">
        <f aca="false">'WPFS Bachelor'!I8</f>
        <v>07:45 - 09:15</v>
      </c>
      <c r="J236" s="6" t="str">
        <f aca="false">'WPFS Bachelor'!J8</f>
        <v>c3.08</v>
      </c>
      <c r="K236" s="9" t="str">
        <f aca="false">'WPFS Bachelor'!K8</f>
        <v>Sorrentino, Florence, Frau (LKfbA) - 4.000 SWS</v>
      </c>
      <c r="L236" s="1" t="n">
        <f aca="false">'IB BSc'!L6</f>
        <v>0</v>
      </c>
      <c r="M236" s="1" t="n">
        <f aca="false">'IB BSc'!M6</f>
        <v>0</v>
      </c>
    </row>
    <row r="237" customFormat="false" ht="13.8" hidden="false" customHeight="false" outlineLevel="0" collapsed="false">
      <c r="A237" s="6" t="str">
        <f aca="false">'WPFS Bachelor'!A9</f>
        <v>w</v>
      </c>
      <c r="B237" s="6" t="str">
        <f aca="false">'WPFS Bachelor'!B9</f>
        <v>001-900205</v>
      </c>
      <c r="C237" s="6" t="str">
        <f aca="false">'WPFS Bachelor'!C9</f>
        <v>Französisch B1</v>
      </c>
      <c r="D237" s="7" t="str">
        <f aca="false">'WPFS Bachelor'!D9</f>
        <v>001-900203</v>
      </c>
      <c r="E237" s="6" t="n">
        <f aca="false">'WPFS Bachelor'!E9</f>
        <v>3</v>
      </c>
      <c r="F237" s="6" t="n">
        <f aca="false">'WPFS Bachelor'!F9</f>
        <v>0</v>
      </c>
      <c r="G237" s="6" t="str">
        <f aca="false">'WPFS Bachelor'!G9</f>
        <v>2-Fr</v>
      </c>
      <c r="H237" s="8" t="n">
        <f aca="false">'WPFS Bachelor'!H9</f>
        <v>46052</v>
      </c>
      <c r="I237" s="6" t="str">
        <f aca="false">'WPFS Bachelor'!I9</f>
        <v>11:15 - 12:45</v>
      </c>
      <c r="J237" s="6" t="str">
        <f aca="false">'WPFS Bachelor'!J9</f>
        <v>a3.04</v>
      </c>
      <c r="K237" s="9" t="str">
        <f aca="false">'WPFS Bachelor'!K9</f>
        <v>Sorrentino, Florence, Frau (LKfbA) - 4.000 SWS</v>
      </c>
      <c r="L237" s="1" t="n">
        <f aca="false">'CSM BSc'!L2</f>
        <v>0</v>
      </c>
      <c r="M237" s="1" t="n">
        <f aca="false">'CSM BSc'!M2</f>
        <v>0</v>
      </c>
    </row>
    <row r="238" customFormat="false" ht="13.8" hidden="false" customHeight="false" outlineLevel="0" collapsed="false">
      <c r="A238" s="6" t="str">
        <f aca="false">'WPFS Bachelor'!A10</f>
        <v>20252</v>
      </c>
      <c r="B238" s="6" t="str">
        <f aca="false">'WPFS Bachelor'!B10</f>
        <v>001-900005</v>
      </c>
      <c r="C238" s="6" t="str">
        <f aca="false">'WPFS Bachelor'!C10</f>
        <v>Französisch A1</v>
      </c>
      <c r="D238" s="7" t="str">
        <f aca="false">'WPFS Bachelor'!D10</f>
        <v>001-900003</v>
      </c>
      <c r="E238" s="6" t="n">
        <f aca="false">'WPFS Bachelor'!E10</f>
        <v>11</v>
      </c>
      <c r="F238" s="6" t="n">
        <f aca="false">'WPFS Bachelor'!F10</f>
        <v>0</v>
      </c>
      <c r="G238" s="6" t="str">
        <f aca="false">'WPFS Bachelor'!G10</f>
        <v>2-Fr</v>
      </c>
      <c r="H238" s="8" t="n">
        <f aca="false">'WPFS Bachelor'!H10</f>
        <v>46052</v>
      </c>
      <c r="I238" s="6" t="str">
        <f aca="false">'WPFS Bachelor'!I10</f>
        <v>07:45 - 09:15</v>
      </c>
      <c r="J238" s="6" t="str">
        <f aca="false">'WPFS Bachelor'!J10</f>
        <v>c3.08</v>
      </c>
      <c r="K238" s="9" t="str">
        <f aca="false">'WPFS Bachelor'!K10</f>
        <v>Sorrentino, Florence, Frau (LKfbA) - 4.000 SWS</v>
      </c>
      <c r="L238" s="1" t="n">
        <f aca="false">'CSM BSc'!L3</f>
        <v>0</v>
      </c>
      <c r="M238" s="1" t="n">
        <f aca="false">'CSM BSc'!M3</f>
        <v>0</v>
      </c>
    </row>
    <row r="239" customFormat="false" ht="13.8" hidden="false" customHeight="false" outlineLevel="0" collapsed="false">
      <c r="A239" s="6" t="str">
        <f aca="false">'WPFS Bachelor'!A11</f>
        <v>20252</v>
      </c>
      <c r="B239" s="6" t="str">
        <f aca="false">'WPFS Bachelor'!B11</f>
        <v>001-900105</v>
      </c>
      <c r="C239" s="6" t="str">
        <f aca="false">'WPFS Bachelor'!C11</f>
        <v>Französisch A2</v>
      </c>
      <c r="D239" s="7" t="str">
        <f aca="false">'WPFS Bachelor'!D11</f>
        <v>001-900103</v>
      </c>
      <c r="E239" s="6" t="n">
        <f aca="false">'WPFS Bachelor'!E11</f>
        <v>11</v>
      </c>
      <c r="F239" s="6" t="n">
        <f aca="false">'WPFS Bachelor'!F11</f>
        <v>0</v>
      </c>
      <c r="G239" s="6" t="str">
        <f aca="false">'WPFS Bachelor'!G11</f>
        <v>2-Fr</v>
      </c>
      <c r="H239" s="8" t="n">
        <f aca="false">'WPFS Bachelor'!H11</f>
        <v>46052</v>
      </c>
      <c r="I239" s="6" t="str">
        <f aca="false">'WPFS Bachelor'!I11</f>
        <v>09:30 - 11:00</v>
      </c>
      <c r="J239" s="6" t="str">
        <f aca="false">'WPFS Bachelor'!J11</f>
        <v>a3.06</v>
      </c>
      <c r="K239" s="9" t="str">
        <f aca="false">'WPFS Bachelor'!K11</f>
        <v>Sorrentino, Florence, Frau (LKfbA) - 4.000 SWS</v>
      </c>
      <c r="L239" s="1" t="n">
        <f aca="false">'CSM BSc'!L4</f>
        <v>0</v>
      </c>
      <c r="M239" s="1" t="n">
        <f aca="false">'CSM BSc'!M4</f>
        <v>0</v>
      </c>
    </row>
    <row r="240" customFormat="false" ht="13.8" hidden="false" customHeight="false" outlineLevel="0" collapsed="false">
      <c r="A240" s="6" t="str">
        <f aca="false">'WPFS Bachelor'!A12</f>
        <v>20252</v>
      </c>
      <c r="B240" s="6" t="str">
        <f aca="false">'WPFS Bachelor'!B12</f>
        <v>001-900225</v>
      </c>
      <c r="C240" s="6" t="str">
        <f aca="false">'WPFS Bachelor'!C12</f>
        <v>Französisch B1.2</v>
      </c>
      <c r="D240" s="7" t="str">
        <f aca="false">'WPFS Bachelor'!D12</f>
        <v>001-900223</v>
      </c>
      <c r="E240" s="6" t="n">
        <f aca="false">'WPFS Bachelor'!E12</f>
        <v>0</v>
      </c>
      <c r="F240" s="6" t="n">
        <f aca="false">'WPFS Bachelor'!F12</f>
        <v>0</v>
      </c>
      <c r="G240" s="6" t="str">
        <f aca="false">'WPFS Bachelor'!G12</f>
        <v>2-Fr</v>
      </c>
      <c r="H240" s="8" t="n">
        <f aca="false">'WPFS Bachelor'!H12</f>
        <v>46052</v>
      </c>
      <c r="I240" s="6" t="str">
        <f aca="false">'WPFS Bachelor'!I12</f>
        <v>11:15 - 12:45</v>
      </c>
      <c r="J240" s="6" t="n">
        <f aca="false">'WPFS Bachelor'!J12</f>
        <v>0</v>
      </c>
      <c r="K240" s="9" t="str">
        <f aca="false">'WPFS Bachelor'!K12</f>
        <v>Sorrentino, Florence, Frau (LKfbA) - 4.000 SWS</v>
      </c>
      <c r="L240" s="1" t="n">
        <f aca="false">'CSM BSc'!L5</f>
        <v>0</v>
      </c>
      <c r="M240" s="1" t="n">
        <f aca="false">'CSM BSc'!M5</f>
        <v>0</v>
      </c>
    </row>
    <row r="241" customFormat="false" ht="13.8" hidden="false" customHeight="false" outlineLevel="0" collapsed="false">
      <c r="A241" s="6" t="str">
        <f aca="false">'WPFS Bachelor'!A13</f>
        <v>20252</v>
      </c>
      <c r="B241" s="6" t="str">
        <f aca="false">'WPFS Bachelor'!B13</f>
        <v>001-900305</v>
      </c>
      <c r="C241" s="6" t="str">
        <f aca="false">'WPFS Bachelor'!C13</f>
        <v>Französisch B2</v>
      </c>
      <c r="D241" s="7" t="str">
        <f aca="false">'WPFS Bachelor'!D13</f>
        <v>001-900303</v>
      </c>
      <c r="E241" s="6" t="n">
        <f aca="false">'WPFS Bachelor'!E13</f>
        <v>0</v>
      </c>
      <c r="F241" s="6" t="n">
        <f aca="false">'WPFS Bachelor'!F13</f>
        <v>0</v>
      </c>
      <c r="G241" s="6" t="str">
        <f aca="false">'WPFS Bachelor'!G13</f>
        <v>2-Fr</v>
      </c>
      <c r="H241" s="8" t="n">
        <f aca="false">'WPFS Bachelor'!H13</f>
        <v>46052</v>
      </c>
      <c r="I241" s="6" t="str">
        <f aca="false">'WPFS Bachelor'!I13</f>
        <v>13:45 - 15:15</v>
      </c>
      <c r="J241" s="6" t="n">
        <f aca="false">'WPFS Bachelor'!J13</f>
        <v>0</v>
      </c>
      <c r="K241" s="9" t="str">
        <f aca="false">'WPFS Bachelor'!K13</f>
        <v>Sorrentino, Florence, Frau (LKfbA) - 4.000 SWS</v>
      </c>
      <c r="L241" s="1" t="n">
        <f aca="false">'CSM BSc'!L6</f>
        <v>0</v>
      </c>
      <c r="M241" s="1" t="n">
        <f aca="false">'CSM BSc'!M6</f>
        <v>0</v>
      </c>
    </row>
    <row r="242" customFormat="false" ht="13.8" hidden="false" customHeight="false" outlineLevel="0" collapsed="false">
      <c r="A242" s="6" t="str">
        <f aca="false">'WPFS Bachelor'!A14</f>
        <v>20252</v>
      </c>
      <c r="B242" s="6" t="str">
        <f aca="false">'WPFS Bachelor'!B14</f>
        <v>001-900405</v>
      </c>
      <c r="C242" s="6" t="str">
        <f aca="false">'WPFS Bachelor'!C14</f>
        <v>Französisch C1</v>
      </c>
      <c r="D242" s="7" t="str">
        <f aca="false">'WPFS Bachelor'!D14</f>
        <v>001-900403</v>
      </c>
      <c r="E242" s="6" t="n">
        <f aca="false">'WPFS Bachelor'!E14</f>
        <v>2</v>
      </c>
      <c r="F242" s="6" t="n">
        <f aca="false">'WPFS Bachelor'!F14</f>
        <v>0</v>
      </c>
      <c r="G242" s="6" t="str">
        <f aca="false">'WPFS Bachelor'!G14</f>
        <v>2-Fr</v>
      </c>
      <c r="H242" s="8" t="n">
        <f aca="false">'WPFS Bachelor'!H14</f>
        <v>46052</v>
      </c>
      <c r="I242" s="6" t="str">
        <f aca="false">'WPFS Bachelor'!I14</f>
        <v>16:00 - 17:30</v>
      </c>
      <c r="J242" s="6" t="str">
        <f aca="false">'WPFS Bachelor'!J14</f>
        <v>a3.04</v>
      </c>
      <c r="K242" s="9" t="str">
        <f aca="false">'WPFS Bachelor'!K14</f>
        <v>Sorrentino, Florence, Frau (LKfbA) - 4.000 SWS</v>
      </c>
      <c r="L242" s="1" t="n">
        <f aca="false">'CSM BSc'!L7</f>
        <v>0</v>
      </c>
      <c r="M242" s="1" t="n">
        <f aca="false">'CSM BSc'!M7</f>
        <v>0</v>
      </c>
    </row>
    <row r="243" customFormat="false" ht="13.8" hidden="false" customHeight="false" outlineLevel="0" collapsed="false">
      <c r="A243" s="6" t="str">
        <f aca="false">'WPFS Bachelor'!A15</f>
        <v>20252</v>
      </c>
      <c r="B243" s="6" t="str">
        <f aca="false">'WPFS Bachelor'!B15</f>
        <v>001-901005 (A)</v>
      </c>
      <c r="C243" s="6" t="str">
        <f aca="false">'WPFS Bachelor'!C15</f>
        <v>Spanisch A1</v>
      </c>
      <c r="D243" s="7" t="str">
        <f aca="false">'WPFS Bachelor'!D15</f>
        <v>901005 (DIM), 001-901003 (A)</v>
      </c>
      <c r="E243" s="6" t="n">
        <f aca="false">'WPFS Bachelor'!E15</f>
        <v>25</v>
      </c>
      <c r="F243" s="6" t="n">
        <f aca="false">'WPFS Bachelor'!F15</f>
        <v>0</v>
      </c>
      <c r="G243" s="6" t="str">
        <f aca="false">'WPFS Bachelor'!G15</f>
        <v>2-Fr</v>
      </c>
      <c r="H243" s="8" t="n">
        <f aca="false">'WPFS Bachelor'!H15</f>
        <v>46052</v>
      </c>
      <c r="I243" s="6" t="str">
        <f aca="false">'WPFS Bachelor'!I15</f>
        <v>13:45 - 15:15</v>
      </c>
      <c r="J243" s="6" t="str">
        <f aca="false">'WPFS Bachelor'!J15</f>
        <v>c3.10</v>
      </c>
      <c r="K243" s="9" t="str">
        <f aca="false">'WPFS Bachelor'!K15</f>
        <v>Sarrazin Castillo, Alejandra, Frau (LBA) - 4.000 SWS</v>
      </c>
      <c r="L243" s="1" t="n">
        <f aca="false">'WPFS Bachelor'!L2</f>
        <v>0</v>
      </c>
      <c r="M243" s="1" t="n">
        <f aca="false">'WPFS Bachelor'!M2</f>
        <v>0</v>
      </c>
    </row>
    <row r="244" customFormat="false" ht="26.85" hidden="false" customHeight="false" outlineLevel="0" collapsed="false">
      <c r="A244" s="6" t="str">
        <f aca="false">'WPFS Bachelor'!A16</f>
        <v>20252</v>
      </c>
      <c r="B244" s="6" t="str">
        <f aca="false">'WPFS Bachelor'!B16</f>
        <v>001-901005 (B)</v>
      </c>
      <c r="C244" s="6" t="str">
        <f aca="false">'WPFS Bachelor'!C16</f>
        <v>Spanisch A1</v>
      </c>
      <c r="D244" s="6" t="n">
        <f aca="false">'WPFS Bachelor'!D16</f>
        <v>0</v>
      </c>
      <c r="E244" s="6" t="n">
        <f aca="false">'WPFS Bachelor'!E16</f>
        <v>1</v>
      </c>
      <c r="F244" s="6" t="n">
        <f aca="false">'WPFS Bachelor'!F16</f>
        <v>0</v>
      </c>
      <c r="G244" s="6" t="str">
        <f aca="false">'WPFS Bachelor'!G16</f>
        <v>2-Fr</v>
      </c>
      <c r="H244" s="8" t="n">
        <f aca="false">'WPFS Bachelor'!H16</f>
        <v>46052</v>
      </c>
      <c r="I244" s="6" t="str">
        <f aca="false">'WPFS Bachelor'!I16</f>
        <v>13:45 - 15:15</v>
      </c>
      <c r="J244" s="6" t="str">
        <f aca="false">'WPFS Bachelor'!J16</f>
        <v>a3.10</v>
      </c>
      <c r="K244" s="9" t="str">
        <f aca="false">'WPFS Bachelor'!K16</f>
        <v>González Pagés, Maria Victoria, Frau (LBA)  Frau (LBA) - 4.000 SWS</v>
      </c>
      <c r="L244" s="1" t="n">
        <f aca="false">'WPFS Bachelor'!L4</f>
        <v>0</v>
      </c>
      <c r="M244" s="1" t="n">
        <f aca="false">'WPFS Bachelor'!M4</f>
        <v>0</v>
      </c>
    </row>
    <row r="245" customFormat="false" ht="14.15" hidden="false" customHeight="false" outlineLevel="0" collapsed="false">
      <c r="A245" s="6" t="str">
        <f aca="false">'WPFS Bachelor'!A17</f>
        <v>w</v>
      </c>
      <c r="B245" s="6" t="str">
        <f aca="false">'WPFS Bachelor'!B17</f>
        <v>001-901005 (C)</v>
      </c>
      <c r="C245" s="6" t="str">
        <f aca="false">'WPFS Bachelor'!C17</f>
        <v>Spanisch A1</v>
      </c>
      <c r="D245" s="7" t="n">
        <f aca="false">'WPFS Bachelor'!D17</f>
        <v>0</v>
      </c>
      <c r="E245" s="6" t="n">
        <f aca="false">'WPFS Bachelor'!E17</f>
        <v>27</v>
      </c>
      <c r="F245" s="6" t="n">
        <f aca="false">'WPFS Bachelor'!F17</f>
        <v>0</v>
      </c>
      <c r="G245" s="6" t="str">
        <f aca="false">'WPFS Bachelor'!G17</f>
        <v>2-Fr</v>
      </c>
      <c r="H245" s="8" t="n">
        <f aca="false">'WPFS Bachelor'!H17</f>
        <v>46052</v>
      </c>
      <c r="I245" s="6" t="str">
        <f aca="false">'WPFS Bachelor'!I17</f>
        <v>13:45 - 15:15</v>
      </c>
      <c r="J245" s="6" t="str">
        <f aca="false">'WPFS Bachelor'!J17</f>
        <v>a3.10</v>
      </c>
      <c r="K245" s="9" t="str">
        <f aca="false">'WPFS Bachelor'!K17</f>
        <v>González Pagés, Maria Victoria, Frau (LBA) - 4.000 SWS</v>
      </c>
      <c r="L245" s="1" t="n">
        <f aca="false">'WPFS Bachelor'!L5</f>
        <v>0</v>
      </c>
      <c r="M245" s="1" t="n">
        <f aca="false">'WPFS Bachelor'!M5</f>
        <v>0</v>
      </c>
    </row>
    <row r="246" customFormat="false" ht="14.15" hidden="false" customHeight="false" outlineLevel="0" collapsed="false">
      <c r="A246" s="6" t="str">
        <f aca="false">'WPFS Bachelor'!A18</f>
        <v>20252</v>
      </c>
      <c r="B246" s="6" t="str">
        <f aca="false">'WPFS Bachelor'!B18</f>
        <v>001-901105 (A)</v>
      </c>
      <c r="C246" s="6" t="str">
        <f aca="false">'WPFS Bachelor'!C18</f>
        <v>Spanisch A2</v>
      </c>
      <c r="D246" s="7" t="str">
        <f aca="false">'WPFS Bachelor'!D18</f>
        <v>001-901103</v>
      </c>
      <c r="E246" s="6" t="n">
        <f aca="false">'WPFS Bachelor'!E18</f>
        <v>15</v>
      </c>
      <c r="F246" s="6" t="n">
        <f aca="false">'WPFS Bachelor'!F18</f>
        <v>0</v>
      </c>
      <c r="G246" s="6" t="str">
        <f aca="false">'WPFS Bachelor'!G18</f>
        <v>2-Fr</v>
      </c>
      <c r="H246" s="8" t="n">
        <f aca="false">'WPFS Bachelor'!H18</f>
        <v>46052</v>
      </c>
      <c r="I246" s="6" t="str">
        <f aca="false">'WPFS Bachelor'!I18</f>
        <v>13:45 - 15:15</v>
      </c>
      <c r="J246" s="6" t="str">
        <f aca="false">'WPFS Bachelor'!J18</f>
        <v>a3.06</v>
      </c>
      <c r="K246" s="9" t="str">
        <f aca="false">'WPFS Bachelor'!K18</f>
        <v>Garcia Fernandez, Analia Gabriela, Frau (LKfbA) - 4.000 SWS</v>
      </c>
      <c r="L246" s="1" t="n">
        <f aca="false">'WPFS Bachelor'!L6</f>
        <v>0</v>
      </c>
      <c r="M246" s="1" t="n">
        <f aca="false">'WPFS Bachelor'!M6</f>
        <v>0</v>
      </c>
    </row>
    <row r="247" customFormat="false" ht="14.15" hidden="false" customHeight="false" outlineLevel="0" collapsed="false">
      <c r="A247" s="6" t="str">
        <f aca="false">'WPFS Bachelor'!A19</f>
        <v>20252</v>
      </c>
      <c r="B247" s="6" t="str">
        <f aca="false">'WPFS Bachelor'!B19</f>
        <v>001-901105 (B)</v>
      </c>
      <c r="C247" s="6" t="str">
        <f aca="false">'WPFS Bachelor'!C19</f>
        <v>Spanisch A2</v>
      </c>
      <c r="D247" s="7" t="n">
        <f aca="false">'WPFS Bachelor'!D19</f>
        <v>0</v>
      </c>
      <c r="E247" s="6" t="n">
        <f aca="false">'WPFS Bachelor'!E19</f>
        <v>0</v>
      </c>
      <c r="F247" s="6" t="n">
        <f aca="false">'WPFS Bachelor'!F19</f>
        <v>0</v>
      </c>
      <c r="G247" s="6" t="str">
        <f aca="false">'WPFS Bachelor'!G19</f>
        <v>2-Fr</v>
      </c>
      <c r="H247" s="8" t="n">
        <f aca="false">'WPFS Bachelor'!H19</f>
        <v>46052</v>
      </c>
      <c r="I247" s="6" t="str">
        <f aca="false">'WPFS Bachelor'!I19</f>
        <v>13:45 - 15:15</v>
      </c>
      <c r="J247" s="6" t="n">
        <f aca="false">'WPFS Bachelor'!J19</f>
        <v>0</v>
      </c>
      <c r="K247" s="9" t="str">
        <f aca="false">'WPFS Bachelor'!K19</f>
        <v>Garcia Fernandez, Analia Gabriela, Frau (LKfbA) - 4.000 SWS</v>
      </c>
      <c r="L247" s="1" t="n">
        <f aca="false">'WPFS Bachelor'!L7</f>
        <v>0</v>
      </c>
      <c r="M247" s="1" t="n">
        <f aca="false">'WPFS Bachelor'!M7</f>
        <v>0</v>
      </c>
    </row>
    <row r="248" customFormat="false" ht="14.15" hidden="false" customHeight="false" outlineLevel="0" collapsed="false">
      <c r="A248" s="6" t="str">
        <f aca="false">'WPFS Bachelor'!A20</f>
        <v>20252</v>
      </c>
      <c r="B248" s="6" t="str">
        <f aca="false">'WPFS Bachelor'!B20</f>
        <v>001-901215</v>
      </c>
      <c r="C248" s="6" t="str">
        <f aca="false">'WPFS Bachelor'!C20</f>
        <v>Spanisch B1.1</v>
      </c>
      <c r="D248" s="7" t="str">
        <f aca="false">'WPFS Bachelor'!D20</f>
        <v>001-901213</v>
      </c>
      <c r="E248" s="6" t="n">
        <f aca="false">'WPFS Bachelor'!E20</f>
        <v>5</v>
      </c>
      <c r="F248" s="49" t="n">
        <f aca="false">'WPFS Bachelor'!F20</f>
        <v>0.056</v>
      </c>
      <c r="G248" s="6" t="str">
        <f aca="false">'WPFS Bachelor'!G20</f>
        <v>2-Fr</v>
      </c>
      <c r="H248" s="8" t="n">
        <f aca="false">'WPFS Bachelor'!H20</f>
        <v>46052</v>
      </c>
      <c r="I248" s="6" t="str">
        <f aca="false">'WPFS Bachelor'!I20</f>
        <v>13:45 - 15:15</v>
      </c>
      <c r="J248" s="6" t="str">
        <f aca="false">'WPFS Bachelor'!J20</f>
        <v>a3.04</v>
      </c>
      <c r="K248" s="9" t="str">
        <f aca="false">'WPFS Bachelor'!K20</f>
        <v>Pérez Hernández, Reynier, Herr Dr. (LBA) - 4.000 SWS</v>
      </c>
      <c r="L248" s="1" t="n">
        <f aca="false">'WPFS Bachelor'!L8</f>
        <v>0</v>
      </c>
      <c r="M248" s="1" t="n">
        <f aca="false">'WPFS Bachelor'!M8</f>
        <v>0</v>
      </c>
    </row>
    <row r="249" customFormat="false" ht="14.15" hidden="false" customHeight="false" outlineLevel="0" collapsed="false">
      <c r="A249" s="6" t="str">
        <f aca="false">'WPFS Bachelor'!A22</f>
        <v>w</v>
      </c>
      <c r="B249" s="6" t="str">
        <f aca="false">'WPFS Bachelor'!B22</f>
        <v>001-901315</v>
      </c>
      <c r="C249" s="6" t="str">
        <f aca="false">'WPFS Bachelor'!C22</f>
        <v>Spanisch B2.1</v>
      </c>
      <c r="D249" s="7" t="n">
        <f aca="false">'WPFS Bachelor'!D22</f>
        <v>0</v>
      </c>
      <c r="E249" s="6" t="n">
        <f aca="false">'WPFS Bachelor'!E22</f>
        <v>0</v>
      </c>
      <c r="F249" s="6" t="n">
        <f aca="false">'WPFS Bachelor'!F22</f>
        <v>0</v>
      </c>
      <c r="G249" s="6" t="str">
        <f aca="false">'WPFS Bachelor'!G22</f>
        <v>2-Fr</v>
      </c>
      <c r="H249" s="8" t="n">
        <f aca="false">'WPFS Bachelor'!H22</f>
        <v>46052</v>
      </c>
      <c r="I249" s="6" t="str">
        <f aca="false">'WPFS Bachelor'!I22</f>
        <v>13:45 - 15:15</v>
      </c>
      <c r="J249" s="6" t="n">
        <f aca="false">'WPFS Bachelor'!J22</f>
        <v>0</v>
      </c>
      <c r="K249" s="9" t="str">
        <f aca="false">'WPFS Bachelor'!K22</f>
        <v>Garcia Fernandez, Analia Gabriela 4,0 SWS</v>
      </c>
      <c r="L249" s="1" t="n">
        <f aca="false">'WPFS Bachelor'!L9</f>
        <v>0</v>
      </c>
      <c r="M249" s="1" t="n">
        <f aca="false">'WPFS Bachelor'!M9</f>
        <v>0</v>
      </c>
    </row>
    <row r="250" customFormat="false" ht="14.15" hidden="false" customHeight="false" outlineLevel="0" collapsed="false">
      <c r="A250" s="6" t="str">
        <f aca="false">'WPFS Bachelor'!A25</f>
        <v>20252</v>
      </c>
      <c r="B250" s="6" t="str">
        <f aca="false">'WPFS Bachelor'!B25</f>
        <v>001-902015</v>
      </c>
      <c r="C250" s="6" t="str">
        <f aca="false">'WPFS Bachelor'!C25</f>
        <v>Chinesisch A1.1</v>
      </c>
      <c r="D250" s="6" t="n">
        <f aca="false">'WPFS Bachelor'!D25</f>
        <v>0</v>
      </c>
      <c r="E250" s="6" t="n">
        <f aca="false">'WPFS Bachelor'!E25</f>
        <v>5</v>
      </c>
      <c r="F250" s="6" t="n">
        <f aca="false">'WPFS Bachelor'!F25</f>
        <v>0</v>
      </c>
      <c r="G250" s="6" t="str">
        <f aca="false">'WPFS Bachelor'!G25</f>
        <v>2-Fr</v>
      </c>
      <c r="H250" s="8" t="n">
        <f aca="false">'WPFS Bachelor'!H25</f>
        <v>46052</v>
      </c>
      <c r="I250" s="6" t="str">
        <f aca="false">'WPFS Bachelor'!I25</f>
        <v>16:00 - 17:30</v>
      </c>
      <c r="J250" s="6" t="str">
        <f aca="false">'WPFS Bachelor'!J25</f>
        <v>a3.08</v>
      </c>
      <c r="K250" s="9" t="str">
        <f aca="false">'WPFS Bachelor'!K25</f>
        <v>Zhu, Yabo, Herr (LBA) - 4.000 SWS</v>
      </c>
      <c r="L250" s="1" t="n">
        <f aca="false">'WPFS Bachelor'!L10</f>
        <v>0</v>
      </c>
      <c r="M250" s="1" t="n">
        <f aca="false">'WPFS Bachelor'!M10</f>
        <v>0</v>
      </c>
    </row>
    <row r="251" customFormat="false" ht="14.15" hidden="false" customHeight="false" outlineLevel="0" collapsed="false">
      <c r="A251" s="6" t="str">
        <f aca="false">'WPFS Bachelor'!A26</f>
        <v>20252</v>
      </c>
      <c r="B251" s="6" t="str">
        <f aca="false">'WPFS Bachelor'!B26</f>
        <v>001-902105</v>
      </c>
      <c r="C251" s="6" t="str">
        <f aca="false">'WPFS Bachelor'!C26</f>
        <v>Chinesisch A2</v>
      </c>
      <c r="D251" s="6" t="n">
        <f aca="false">'WPFS Bachelor'!D26</f>
        <v>0</v>
      </c>
      <c r="E251" s="6" t="n">
        <f aca="false">'WPFS Bachelor'!E26</f>
        <v>0</v>
      </c>
      <c r="F251" s="6" t="n">
        <f aca="false">'WPFS Bachelor'!F26</f>
        <v>0</v>
      </c>
      <c r="G251" s="6" t="str">
        <f aca="false">'WPFS Bachelor'!G26</f>
        <v>2-Fr</v>
      </c>
      <c r="H251" s="8" t="n">
        <f aca="false">'WPFS Bachelor'!H26</f>
        <v>46052</v>
      </c>
      <c r="I251" s="6" t="str">
        <f aca="false">'WPFS Bachelor'!I26</f>
        <v>16:00 - 17:30</v>
      </c>
      <c r="J251" s="6" t="n">
        <f aca="false">'WPFS Bachelor'!J26</f>
        <v>0</v>
      </c>
      <c r="K251" s="9" t="str">
        <f aca="false">'WPFS Bachelor'!K26</f>
        <v>Zhu, Yabo, Herr (LBA) - 4.000 SWS</v>
      </c>
      <c r="L251" s="1" t="n">
        <f aca="false">'WPFS Bachelor'!L11</f>
        <v>0</v>
      </c>
      <c r="M251" s="1" t="n">
        <f aca="false">'WPFS Bachelor'!M11</f>
        <v>0</v>
      </c>
    </row>
    <row r="252" customFormat="false" ht="14.15" hidden="false" customHeight="false" outlineLevel="0" collapsed="false">
      <c r="A252" s="6" t="str">
        <f aca="false">'WPFS Bachelor'!A27</f>
        <v>20252</v>
      </c>
      <c r="B252" s="6" t="str">
        <f aca="false">'WPFS Bachelor'!B27</f>
        <v>001-904015</v>
      </c>
      <c r="C252" s="6" t="str">
        <f aca="false">'WPFS Bachelor'!C27</f>
        <v>Russisch A1.1</v>
      </c>
      <c r="D252" s="6" t="n">
        <f aca="false">'WPFS Bachelor'!D27</f>
        <v>0</v>
      </c>
      <c r="E252" s="6" t="n">
        <f aca="false">'WPFS Bachelor'!E27</f>
        <v>4</v>
      </c>
      <c r="F252" s="6" t="n">
        <f aca="false">'WPFS Bachelor'!F27</f>
        <v>0</v>
      </c>
      <c r="G252" s="6" t="str">
        <f aca="false">'WPFS Bachelor'!G27</f>
        <v>2-Fr</v>
      </c>
      <c r="H252" s="8" t="n">
        <f aca="false">'WPFS Bachelor'!H27</f>
        <v>46052</v>
      </c>
      <c r="I252" s="6" t="str">
        <f aca="false">'WPFS Bachelor'!I27</f>
        <v>18:15 - 19:45</v>
      </c>
      <c r="J252" s="6" t="str">
        <f aca="false">'WPFS Bachelor'!J27</f>
        <v>a3.04</v>
      </c>
      <c r="K252" s="9" t="str">
        <f aca="false">'WPFS Bachelor'!K27</f>
        <v>Gurvici-Tenenbaum, Ines, Frau (LBA) - 4.000 SWS</v>
      </c>
      <c r="L252" s="1" t="n">
        <f aca="false">'WPFS Bachelor'!L12</f>
        <v>0</v>
      </c>
      <c r="M252" s="1" t="n">
        <f aca="false">'WPFS Bachelor'!M12</f>
        <v>0</v>
      </c>
    </row>
    <row r="253" customFormat="false" ht="14.15" hidden="false" customHeight="false" outlineLevel="0" collapsed="false">
      <c r="A253" s="6" t="str">
        <f aca="false">'WPFS Bachelor'!A29</f>
        <v>20252</v>
      </c>
      <c r="B253" s="6" t="str">
        <f aca="false">'WPFS Bachelor'!B29</f>
        <v>001-907015 (B)</v>
      </c>
      <c r="C253" s="6" t="str">
        <f aca="false">'WPFS Bachelor'!C29</f>
        <v>Deutsch A1.1</v>
      </c>
      <c r="D253" s="6" t="n">
        <f aca="false">'WPFS Bachelor'!D29</f>
        <v>0</v>
      </c>
      <c r="E253" s="6" t="n">
        <f aca="false">'WPFS Bachelor'!E29</f>
        <v>14</v>
      </c>
      <c r="F253" s="6" t="n">
        <f aca="false">'WPFS Bachelor'!F29</f>
        <v>0</v>
      </c>
      <c r="G253" s="6" t="str">
        <f aca="false">'WPFS Bachelor'!G29</f>
        <v>2-Fr</v>
      </c>
      <c r="H253" s="8" t="n">
        <f aca="false">'WPFS Bachelor'!H29</f>
        <v>46052</v>
      </c>
      <c r="I253" s="6" t="str">
        <f aca="false">'WPFS Bachelor'!I29</f>
        <v>07:45 - 09:15</v>
      </c>
      <c r="J253" s="6" t="str">
        <f aca="false">'WPFS Bachelor'!J29</f>
        <v>c3.04</v>
      </c>
      <c r="K253" s="9" t="str">
        <f aca="false">'WPFS Bachelor'!K29</f>
        <v>Blank, Biljana, Frau (LKfbA) - 4.000 SWS</v>
      </c>
      <c r="L253" s="1" t="n">
        <f aca="false">'WPFS Bachelor'!L13</f>
        <v>0</v>
      </c>
      <c r="M253" s="1" t="n">
        <f aca="false">'WPFS Bachelor'!M13</f>
        <v>0</v>
      </c>
    </row>
    <row r="254" customFormat="false" ht="14.15" hidden="false" customHeight="false" outlineLevel="0" collapsed="false">
      <c r="A254" s="6" t="str">
        <f aca="false">'WPFS Bachelor'!A30</f>
        <v>20252</v>
      </c>
      <c r="B254" s="6" t="str">
        <f aca="false">'WPFS Bachelor'!B30</f>
        <v>001-907025</v>
      </c>
      <c r="C254" s="6" t="str">
        <f aca="false">'WPFS Bachelor'!C30</f>
        <v>Deutsch A1.2</v>
      </c>
      <c r="D254" s="6" t="n">
        <f aca="false">'WPFS Bachelor'!D30</f>
        <v>0</v>
      </c>
      <c r="E254" s="6" t="n">
        <f aca="false">'WPFS Bachelor'!E30</f>
        <v>10</v>
      </c>
      <c r="F254" s="6" t="n">
        <f aca="false">'WPFS Bachelor'!F30</f>
        <v>0</v>
      </c>
      <c r="G254" s="6" t="str">
        <f aca="false">'WPFS Bachelor'!G30</f>
        <v>2-Fr</v>
      </c>
      <c r="H254" s="8" t="n">
        <f aca="false">'WPFS Bachelor'!H30</f>
        <v>46052</v>
      </c>
      <c r="I254" s="6" t="str">
        <f aca="false">'WPFS Bachelor'!I30</f>
        <v>09:30 - 11:00</v>
      </c>
      <c r="J254" s="6" t="str">
        <f aca="false">'WPFS Bachelor'!J30</f>
        <v>c3.06</v>
      </c>
      <c r="K254" s="9" t="str">
        <f aca="false">'WPFS Bachelor'!K30</f>
        <v>Kromer, Tilman, Herr (LKfbA) - 4.000 SWS</v>
      </c>
      <c r="L254" s="1" t="n">
        <f aca="false">'WPFS Bachelor'!L14</f>
        <v>0</v>
      </c>
      <c r="M254" s="1" t="n">
        <f aca="false">'WPFS Bachelor'!M14</f>
        <v>0</v>
      </c>
    </row>
    <row r="255" customFormat="false" ht="14.15" hidden="false" customHeight="false" outlineLevel="0" collapsed="false">
      <c r="A255" s="6" t="str">
        <f aca="false">'WPFS Bachelor'!A31</f>
        <v>20252</v>
      </c>
      <c r="B255" s="6" t="str">
        <f aca="false">'WPFS Bachelor'!B31</f>
        <v>001-907115</v>
      </c>
      <c r="C255" s="6" t="str">
        <f aca="false">'WPFS Bachelor'!C31</f>
        <v>Deutsch A2.1</v>
      </c>
      <c r="D255" s="7" t="str">
        <f aca="false">'WPFS Bachelor'!D31</f>
        <v>B09-60383</v>
      </c>
      <c r="E255" s="6" t="n">
        <f aca="false">'WPFS Bachelor'!E31</f>
        <v>6</v>
      </c>
      <c r="F255" s="6" t="n">
        <f aca="false">'WPFS Bachelor'!F31</f>
        <v>0</v>
      </c>
      <c r="G255" s="6" t="str">
        <f aca="false">'WPFS Bachelor'!G31</f>
        <v>2-Fr</v>
      </c>
      <c r="H255" s="8" t="n">
        <f aca="false">'WPFS Bachelor'!H31</f>
        <v>46052</v>
      </c>
      <c r="I255" s="6" t="str">
        <f aca="false">'WPFS Bachelor'!I31</f>
        <v>16:00 - 17:30</v>
      </c>
      <c r="J255" s="6" t="str">
        <f aca="false">'WPFS Bachelor'!J31</f>
        <v>c3.06</v>
      </c>
      <c r="K255" s="9" t="str">
        <f aca="false">'WPFS Bachelor'!K31</f>
        <v>Blank, Biljana, Frau (LKfbA) - 4.000 SWS</v>
      </c>
      <c r="L255" s="1" t="n">
        <f aca="false">'WPFS Bachelor'!L15</f>
        <v>0</v>
      </c>
      <c r="M255" s="1" t="n">
        <f aca="false">'WPFS Bachelor'!M15</f>
        <v>0</v>
      </c>
    </row>
    <row r="256" customFormat="false" ht="14.15" hidden="false" customHeight="false" outlineLevel="0" collapsed="false">
      <c r="A256" s="6" t="str">
        <f aca="false">'WPFS Bachelor'!A32</f>
        <v>20252</v>
      </c>
      <c r="B256" s="6" t="str">
        <f aca="false">'WPFS Bachelor'!B32</f>
        <v>001-907125</v>
      </c>
      <c r="C256" s="6" t="str">
        <f aca="false">'WPFS Bachelor'!C32</f>
        <v>Deutsch A2.2</v>
      </c>
      <c r="D256" s="7" t="str">
        <f aca="false">'WPFS Bachelor'!D32</f>
        <v>B09-60483</v>
      </c>
      <c r="E256" s="6" t="n">
        <f aca="false">'WPFS Bachelor'!E32</f>
        <v>5</v>
      </c>
      <c r="F256" s="6" t="n">
        <f aca="false">'WPFS Bachelor'!F32</f>
        <v>0</v>
      </c>
      <c r="G256" s="6" t="str">
        <f aca="false">'WPFS Bachelor'!G32</f>
        <v>2-Fr</v>
      </c>
      <c r="H256" s="8" t="n">
        <f aca="false">'WPFS Bachelor'!H32</f>
        <v>46052</v>
      </c>
      <c r="I256" s="6" t="str">
        <f aca="false">'WPFS Bachelor'!I32</f>
        <v>11:45 - 13:15</v>
      </c>
      <c r="J256" s="6" t="str">
        <f aca="false">'WPFS Bachelor'!J32</f>
        <v>c3.06</v>
      </c>
      <c r="K256" s="9" t="str">
        <f aca="false">'WPFS Bachelor'!K32</f>
        <v>Kromer, Tilman, Herr (LKfbA) - 4.000 SWS</v>
      </c>
      <c r="L256" s="1" t="n">
        <f aca="false">'WPFS Bachelor'!L16</f>
        <v>0</v>
      </c>
      <c r="M256" s="1" t="n">
        <f aca="false">'WPFS Bachelor'!M16</f>
        <v>0</v>
      </c>
    </row>
    <row r="257" customFormat="false" ht="14.15" hidden="false" customHeight="false" outlineLevel="0" collapsed="false">
      <c r="A257" s="6" t="str">
        <f aca="false">'WPFS Bachelor'!A33</f>
        <v>20252</v>
      </c>
      <c r="B257" s="6" t="str">
        <f aca="false">'WPFS Bachelor'!B33</f>
        <v>001-907215</v>
      </c>
      <c r="C257" s="6" t="str">
        <f aca="false">'WPFS Bachelor'!C33</f>
        <v>Deutsch B1.1</v>
      </c>
      <c r="D257" s="7" t="str">
        <f aca="false">'WPFS Bachelor'!D33</f>
        <v>B09-60384</v>
      </c>
      <c r="E257" s="6" t="n">
        <f aca="false">'WPFS Bachelor'!E33</f>
        <v>6</v>
      </c>
      <c r="F257" s="6" t="n">
        <f aca="false">'WPFS Bachelor'!F33</f>
        <v>0</v>
      </c>
      <c r="G257" s="6" t="str">
        <f aca="false">'WPFS Bachelor'!G33</f>
        <v>2-Fr</v>
      </c>
      <c r="H257" s="8" t="n">
        <f aca="false">'WPFS Bachelor'!H33</f>
        <v>46052</v>
      </c>
      <c r="I257" s="6" t="str">
        <f aca="false">'WPFS Bachelor'!I33</f>
        <v>16:00 - 17:30</v>
      </c>
      <c r="J257" s="6" t="str">
        <f aca="false">'WPFS Bachelor'!J33</f>
        <v>c3.06</v>
      </c>
      <c r="K257" s="9" t="str">
        <f aca="false">'WPFS Bachelor'!K33</f>
        <v>Blank, Biljana, Frau (LKfbA) - 4.000 SWS</v>
      </c>
      <c r="L257" s="1" t="n">
        <f aca="false">'WPFS Bachelor'!L17</f>
        <v>0</v>
      </c>
      <c r="M257" s="1" t="n">
        <f aca="false">'WPFS Bachelor'!M17</f>
        <v>0</v>
      </c>
    </row>
    <row r="258" customFormat="false" ht="14.15" hidden="false" customHeight="false" outlineLevel="0" collapsed="false">
      <c r="A258" s="6" t="str">
        <f aca="false">'WPFS Bachelor'!A34</f>
        <v>20252</v>
      </c>
      <c r="B258" s="6" t="str">
        <f aca="false">'WPFS Bachelor'!B34</f>
        <v>001-907225</v>
      </c>
      <c r="C258" s="6" t="str">
        <f aca="false">'WPFS Bachelor'!C34</f>
        <v>Deutsch B1.2</v>
      </c>
      <c r="D258" s="7" t="str">
        <f aca="false">'WPFS Bachelor'!D34</f>
        <v>B09-60484</v>
      </c>
      <c r="E258" s="6" t="n">
        <f aca="false">'WPFS Bachelor'!E34</f>
        <v>3</v>
      </c>
      <c r="F258" s="6" t="n">
        <f aca="false">'WPFS Bachelor'!F34</f>
        <v>0</v>
      </c>
      <c r="G258" s="6" t="str">
        <f aca="false">'WPFS Bachelor'!G34</f>
        <v>2-Fr</v>
      </c>
      <c r="H258" s="8" t="n">
        <f aca="false">'WPFS Bachelor'!H34</f>
        <v>46052</v>
      </c>
      <c r="I258" s="6" t="str">
        <f aca="false">'WPFS Bachelor'!I34</f>
        <v>16:00 - 17:30</v>
      </c>
      <c r="J258" s="6" t="str">
        <f aca="false">'WPFS Bachelor'!J34</f>
        <v>c3.06</v>
      </c>
      <c r="K258" s="9" t="str">
        <f aca="false">'WPFS Bachelor'!K34</f>
        <v>Blank, Biljana, Frau (LKfbA) - 4.000 SWS</v>
      </c>
      <c r="L258" s="1" t="n">
        <f aca="false">'WPFS Bachelor'!L18</f>
        <v>0</v>
      </c>
      <c r="M258" s="1" t="n">
        <f aca="false">'WPFS Bachelor'!M18</f>
        <v>0</v>
      </c>
    </row>
    <row r="259" customFormat="false" ht="14.15" hidden="false" customHeight="false" outlineLevel="0" collapsed="false">
      <c r="A259" s="6" t="str">
        <f aca="false">'WPFS Bachelor'!A35</f>
        <v>20252</v>
      </c>
      <c r="B259" s="6" t="str">
        <f aca="false">'WPFS Bachelor'!B35</f>
        <v>001-907315</v>
      </c>
      <c r="C259" s="6" t="str">
        <f aca="false">'WPFS Bachelor'!C35</f>
        <v>Deutsch B2.1</v>
      </c>
      <c r="D259" s="7" t="str">
        <f aca="false">'WPFS Bachelor'!D35</f>
        <v>B09-60385</v>
      </c>
      <c r="E259" s="6" t="n">
        <f aca="false">'WPFS Bachelor'!E35</f>
        <v>9</v>
      </c>
      <c r="F259" s="6" t="n">
        <f aca="false">'WPFS Bachelor'!F35</f>
        <v>0</v>
      </c>
      <c r="G259" s="6" t="str">
        <f aca="false">'WPFS Bachelor'!G35</f>
        <v>2-Fr</v>
      </c>
      <c r="H259" s="8" t="n">
        <f aca="false">'WPFS Bachelor'!H35</f>
        <v>46052</v>
      </c>
      <c r="I259" s="6" t="str">
        <f aca="false">'WPFS Bachelor'!I35</f>
        <v>18:15 - 19:45</v>
      </c>
      <c r="J259" s="6" t="str">
        <f aca="false">'WPFS Bachelor'!J35</f>
        <v>a3.08</v>
      </c>
      <c r="K259" s="9" t="str">
        <f aca="false">'WPFS Bachelor'!K35</f>
        <v>Kromer, Tilman, Herr (LKfbA) - 4.000 SWS</v>
      </c>
      <c r="L259" s="1" t="n">
        <f aca="false">'WPFS Bachelor'!L19</f>
        <v>0</v>
      </c>
      <c r="M259" s="1" t="n">
        <f aca="false">'WPFS Bachelor'!M19</f>
        <v>0</v>
      </c>
    </row>
    <row r="260" customFormat="false" ht="14.15" hidden="false" customHeight="false" outlineLevel="0" collapsed="false">
      <c r="A260" s="6" t="str">
        <f aca="false">'WPFS Bachelor'!A36</f>
        <v>20252</v>
      </c>
      <c r="B260" s="6" t="str">
        <f aca="false">'WPFS Bachelor'!B36</f>
        <v>001-907415</v>
      </c>
      <c r="C260" s="6" t="str">
        <f aca="false">'WPFS Bachelor'!C36</f>
        <v>Deutsch C1.1</v>
      </c>
      <c r="D260" s="7" t="n">
        <f aca="false">'WPFS Bachelor'!D36</f>
        <v>0</v>
      </c>
      <c r="E260" s="6" t="n">
        <f aca="false">'WPFS Bachelor'!E36</f>
        <v>9</v>
      </c>
      <c r="F260" s="6" t="n">
        <f aca="false">'WPFS Bachelor'!F36</f>
        <v>0</v>
      </c>
      <c r="G260" s="6" t="str">
        <f aca="false">'WPFS Bachelor'!G36</f>
        <v>2-Fr</v>
      </c>
      <c r="H260" s="8" t="n">
        <f aca="false">'WPFS Bachelor'!H36</f>
        <v>46052</v>
      </c>
      <c r="I260" s="6" t="str">
        <f aca="false">'WPFS Bachelor'!I36</f>
        <v>18:15 - 19:45</v>
      </c>
      <c r="J260" s="6" t="str">
        <f aca="false">'WPFS Bachelor'!J36</f>
        <v>a3.06</v>
      </c>
      <c r="K260" s="9" t="str">
        <f aca="false">'WPFS Bachelor'!K36</f>
        <v>Dahmer, Arno, Herr (LB) - 4.000 SWS</v>
      </c>
      <c r="L260" s="1" t="n">
        <f aca="false">'WPFS Bachelor'!L20</f>
        <v>0</v>
      </c>
      <c r="M260" s="1" t="n">
        <f aca="false">'WPFS Bachelor'!M20</f>
        <v>0</v>
      </c>
    </row>
    <row r="261" customFormat="false" ht="14.15" hidden="false" customHeight="false" outlineLevel="0" collapsed="false">
      <c r="A261" s="6" t="str">
        <f aca="false">'WPFS Bachelor'!A37</f>
        <v>w</v>
      </c>
      <c r="B261" s="6" t="str">
        <f aca="false">'WPFS Bachelor'!B37</f>
        <v>001-907325</v>
      </c>
      <c r="C261" s="6" t="str">
        <f aca="false">'WPFS Bachelor'!C37</f>
        <v>Deutsch B2.2</v>
      </c>
      <c r="D261" s="7" t="str">
        <f aca="false">'WPFS Bachelor'!D37</f>
        <v>B09-60485</v>
      </c>
      <c r="E261" s="6" t="n">
        <f aca="false">'WPFS Bachelor'!E37</f>
        <v>0</v>
      </c>
      <c r="F261" s="6" t="n">
        <f aca="false">'WPFS Bachelor'!F37</f>
        <v>0</v>
      </c>
      <c r="G261" s="6" t="str">
        <f aca="false">'WPFS Bachelor'!G37</f>
        <v>2-Fr</v>
      </c>
      <c r="H261" s="8" t="n">
        <f aca="false">'WPFS Bachelor'!H37</f>
        <v>46052</v>
      </c>
      <c r="I261" s="6" t="str">
        <f aca="false">'WPFS Bachelor'!I37</f>
        <v>16:00 - 17:30</v>
      </c>
      <c r="J261" s="6" t="n">
        <f aca="false">'WPFS Bachelor'!J37</f>
        <v>0</v>
      </c>
      <c r="K261" s="9" t="str">
        <f aca="false">'WPFS Bachelor'!K37</f>
        <v>Kromer, Tilman, Herr (LKfbA) - 4.000 SWS</v>
      </c>
      <c r="L261" s="1" t="n">
        <f aca="false">'WPFS Bachelor'!L21</f>
        <v>0</v>
      </c>
      <c r="M261" s="1" t="n">
        <f aca="false">'WPFS Bachelor'!M21</f>
        <v>0</v>
      </c>
    </row>
    <row r="262" customFormat="false" ht="14.15" hidden="false" customHeight="false" outlineLevel="0" collapsed="false">
      <c r="A262" s="6" t="str">
        <f aca="false">'WPFS Bachelor'!A38</f>
        <v>w</v>
      </c>
      <c r="B262" s="6" t="str">
        <f aca="false">'WPFS Bachelor'!B38</f>
        <v>001-907425</v>
      </c>
      <c r="C262" s="6" t="str">
        <f aca="false">'WPFS Bachelor'!C38</f>
        <v>Deutsch C1.2</v>
      </c>
      <c r="D262" s="7" t="n">
        <f aca="false">'WPFS Bachelor'!D38</f>
        <v>0</v>
      </c>
      <c r="E262" s="6" t="n">
        <f aca="false">'WPFS Bachelor'!E38</f>
        <v>0</v>
      </c>
      <c r="F262" s="6" t="n">
        <f aca="false">'WPFS Bachelor'!F38</f>
        <v>0</v>
      </c>
      <c r="G262" s="6" t="str">
        <f aca="false">'WPFS Bachelor'!G38</f>
        <v>2-Fr</v>
      </c>
      <c r="H262" s="8" t="n">
        <f aca="false">'WPFS Bachelor'!H38</f>
        <v>46052</v>
      </c>
      <c r="I262" s="6" t="str">
        <f aca="false">'WPFS Bachelor'!I38</f>
        <v>13:45 - 15:15</v>
      </c>
      <c r="J262" s="6" t="n">
        <f aca="false">'WPFS Bachelor'!J38</f>
        <v>0</v>
      </c>
      <c r="K262" s="9" t="str">
        <f aca="false">'WPFS Bachelor'!K38</f>
        <v>Blank, Biljana, Frau (LKfbA) - 4.000 SWS</v>
      </c>
      <c r="L262" s="1" t="n">
        <f aca="false">'WPFS Bachelor'!L22</f>
        <v>0</v>
      </c>
      <c r="M262" s="1" t="n">
        <f aca="false">'WPFS Bachelor'!M22</f>
        <v>0</v>
      </c>
    </row>
    <row r="263" customFormat="false" ht="14.15" hidden="false" customHeight="false" outlineLevel="0" collapsed="false">
      <c r="A263" s="6" t="str">
        <f aca="false">'WPFS Bachelor'!A39</f>
        <v>20252</v>
      </c>
      <c r="B263" s="6" t="str">
        <f aca="false">'WPFS Bachelor'!B39</f>
        <v>001-908505</v>
      </c>
      <c r="C263" s="9" t="str">
        <f aca="false">'WPFS Bachelor'!C39</f>
        <v>Englisch C1: Negotiation Skills</v>
      </c>
      <c r="D263" s="7" t="n">
        <f aca="false">'WPFS Bachelor'!D39</f>
        <v>0</v>
      </c>
      <c r="E263" s="6" t="n">
        <f aca="false">'WPFS Bachelor'!E39</f>
        <v>26</v>
      </c>
      <c r="F263" s="28" t="n">
        <f aca="false">'WPFS Bachelor'!F39</f>
        <v>0.1</v>
      </c>
      <c r="G263" s="6" t="str">
        <f aca="false">'WPFS Bachelor'!G39</f>
        <v>2-Fr</v>
      </c>
      <c r="H263" s="8" t="n">
        <f aca="false">'WPFS Bachelor'!H39</f>
        <v>46052</v>
      </c>
      <c r="I263" s="6" t="str">
        <f aca="false">'WPFS Bachelor'!I39</f>
        <v>11:45 - 13:15</v>
      </c>
      <c r="J263" s="6" t="str">
        <f aca="false">'WPFS Bachelor'!J39</f>
        <v>a3.10</v>
      </c>
      <c r="K263" s="9" t="str">
        <f aca="false">'WPFS Bachelor'!K39</f>
        <v>Thompson, Liam, Herr (LKfbA) - 4.000 SWS</v>
      </c>
      <c r="L263" s="1" t="n">
        <f aca="false">'WPFS Bachelor'!L23</f>
        <v>0</v>
      </c>
      <c r="M263" s="1" t="n">
        <f aca="false">'WPFS Bachelor'!M23</f>
        <v>0</v>
      </c>
    </row>
    <row r="264" customFormat="false" ht="26.85" hidden="false" customHeight="false" outlineLevel="0" collapsed="false">
      <c r="A264" s="6" t="str">
        <f aca="false">'WPFS Bachelor'!A40</f>
        <v>20252</v>
      </c>
      <c r="B264" s="6" t="str">
        <f aca="false">'WPFS Bachelor'!B40</f>
        <v>001-908605</v>
      </c>
      <c r="C264" s="9" t="str">
        <f aca="false">'WPFS Bachelor'!C40</f>
        <v>Englisch C1: Working in Multicultural Teams</v>
      </c>
      <c r="D264" s="7" t="n">
        <f aca="false">'WPFS Bachelor'!D40</f>
        <v>0</v>
      </c>
      <c r="E264" s="6" t="n">
        <f aca="false">'WPFS Bachelor'!E40</f>
        <v>26</v>
      </c>
      <c r="F264" s="6" t="n">
        <f aca="false">'WPFS Bachelor'!F40</f>
        <v>0</v>
      </c>
      <c r="G264" s="6" t="str">
        <f aca="false">'WPFS Bachelor'!G40</f>
        <v>2-Fr</v>
      </c>
      <c r="H264" s="8" t="n">
        <f aca="false">'WPFS Bachelor'!H40</f>
        <v>46052</v>
      </c>
      <c r="I264" s="6" t="str">
        <f aca="false">'WPFS Bachelor'!I40</f>
        <v>09:30 - 11:00</v>
      </c>
      <c r="J264" s="6" t="str">
        <f aca="false">'WPFS Bachelor'!J40</f>
        <v>a3.10</v>
      </c>
      <c r="K264" s="9" t="str">
        <f aca="false">'WPFS Bachelor'!K40</f>
        <v>Thompson, Liam, Herr (LKfbA) - 2.000 SWS; Watson, Heather, Frau - 2.000 SWS</v>
      </c>
      <c r="L264" s="1" t="n">
        <f aca="false">'WPFS Bachelor'!L24</f>
        <v>0</v>
      </c>
      <c r="M264" s="1" t="n">
        <f aca="false">'WPFS Bachelor'!M24</f>
        <v>0</v>
      </c>
    </row>
    <row r="265" customFormat="false" ht="14.15" hidden="false" customHeight="false" outlineLevel="0" collapsed="false">
      <c r="A265" s="6" t="str">
        <f aca="false">'WPFS Bachelor'!A41</f>
        <v>20252</v>
      </c>
      <c r="B265" s="6" t="str">
        <f aca="false">'WPFS Bachelor'!B41</f>
        <v>001-908805</v>
      </c>
      <c r="C265" s="9" t="str">
        <f aca="false">'WPFS Bachelor'!C41</f>
        <v>Englisch C1: Intercultural Business Communication</v>
      </c>
      <c r="D265" s="7" t="n">
        <f aca="false">'WPFS Bachelor'!D41</f>
        <v>0</v>
      </c>
      <c r="E265" s="6" t="n">
        <f aca="false">'WPFS Bachelor'!E41</f>
        <v>10</v>
      </c>
      <c r="F265" s="6" t="n">
        <f aca="false">'WPFS Bachelor'!F41</f>
        <v>0</v>
      </c>
      <c r="G265" s="6" t="str">
        <f aca="false">'WPFS Bachelor'!G41</f>
        <v>2-Fr</v>
      </c>
      <c r="H265" s="8" t="n">
        <f aca="false">'WPFS Bachelor'!H41</f>
        <v>46052</v>
      </c>
      <c r="I265" s="6" t="str">
        <f aca="false">'WPFS Bachelor'!I41</f>
        <v>13:45 - 15:15</v>
      </c>
      <c r="J265" s="6" t="str">
        <f aca="false">'WPFS Bachelor'!J41</f>
        <v>a3.08</v>
      </c>
      <c r="K265" s="9" t="str">
        <f aca="false">'WPFS Bachelor'!K41</f>
        <v>Wray-Boothe, Jenese, Frau Dr. (LBA) - 4.000 SWS</v>
      </c>
      <c r="L265" s="1" t="n">
        <f aca="false">'WPFS Bachelor'!L25</f>
        <v>0</v>
      </c>
      <c r="M265" s="1" t="n">
        <f aca="false">'WPFS Bachelor'!M25</f>
        <v>0</v>
      </c>
    </row>
    <row r="266" customFormat="false" ht="14.15" hidden="false" customHeight="false" outlineLevel="0" collapsed="false">
      <c r="A266" s="6" t="str">
        <f aca="false">'WPFS Bachelor'!A42</f>
        <v>20252</v>
      </c>
      <c r="B266" s="6" t="str">
        <f aca="false">'WPFS Bachelor'!B42</f>
        <v>001-910015</v>
      </c>
      <c r="C266" s="9" t="str">
        <f aca="false">'WPFS Bachelor'!C42</f>
        <v>Italienisch A1.1</v>
      </c>
      <c r="D266" s="7" t="str">
        <f aca="false">'WPFS Bachelor'!D42</f>
        <v>001-910013</v>
      </c>
      <c r="E266" s="6" t="n">
        <f aca="false">'WPFS Bachelor'!E42</f>
        <v>6</v>
      </c>
      <c r="F266" s="6" t="n">
        <f aca="false">'WPFS Bachelor'!F42</f>
        <v>0</v>
      </c>
      <c r="G266" s="6" t="str">
        <f aca="false">'WPFS Bachelor'!G42</f>
        <v>2-Fr</v>
      </c>
      <c r="H266" s="8" t="n">
        <f aca="false">'WPFS Bachelor'!H42</f>
        <v>46052</v>
      </c>
      <c r="I266" s="6" t="str">
        <f aca="false">'WPFS Bachelor'!I42</f>
        <v>08:15 - 09:45</v>
      </c>
      <c r="J266" s="6" t="str">
        <f aca="false">'WPFS Bachelor'!J42</f>
        <v>a3.04</v>
      </c>
      <c r="K266" s="9" t="str">
        <f aca="false">'WPFS Bachelor'!K42</f>
        <v>Ceroni, Daniela, Frau (LBA) - 4.000 SWS</v>
      </c>
      <c r="L266" s="1" t="n">
        <f aca="false">'WPFS Bachelor'!L26</f>
        <v>0</v>
      </c>
      <c r="M266" s="1" t="n">
        <f aca="false">'WPFS Bachelor'!M26</f>
        <v>0</v>
      </c>
    </row>
    <row r="267" customFormat="false" ht="14.15" hidden="false" customHeight="false" outlineLevel="0" collapsed="false">
      <c r="A267" s="6" t="str">
        <f aca="false">'WPFS Bachelor'!A43</f>
        <v>w</v>
      </c>
      <c r="B267" s="6" t="str">
        <f aca="false">'WPFS Bachelor'!B43</f>
        <v>001-910025</v>
      </c>
      <c r="C267" s="9" t="str">
        <f aca="false">'WPFS Bachelor'!C43</f>
        <v>Italienisch A1.2</v>
      </c>
      <c r="D267" s="7" t="str">
        <f aca="false">'WPFS Bachelor'!D43</f>
        <v>001-910023</v>
      </c>
      <c r="E267" s="6" t="n">
        <f aca="false">'WPFS Bachelor'!E43</f>
        <v>1</v>
      </c>
      <c r="F267" s="6" t="n">
        <f aca="false">'WPFS Bachelor'!F43</f>
        <v>0</v>
      </c>
      <c r="G267" s="6" t="str">
        <f aca="false">'WPFS Bachelor'!G43</f>
        <v>2-Fr</v>
      </c>
      <c r="H267" s="8" t="n">
        <f aca="false">'WPFS Bachelor'!H43</f>
        <v>46052</v>
      </c>
      <c r="I267" s="6" t="str">
        <f aca="false">'WPFS Bachelor'!I43</f>
        <v>18:15 - 19:45</v>
      </c>
      <c r="J267" s="6" t="str">
        <f aca="false">'WPFS Bachelor'!J43</f>
        <v>c3.06</v>
      </c>
      <c r="K267" s="9" t="str">
        <f aca="false">'WPFS Bachelor'!K43</f>
        <v>Ceroni, Daniela, Frau (LBA) - 4.000 SWS</v>
      </c>
      <c r="L267" s="1" t="n">
        <f aca="false">'WPFS Bachelor'!L27</f>
        <v>0</v>
      </c>
      <c r="M267" s="1" t="n">
        <f aca="false">'WPFS Bachelor'!M27</f>
        <v>0</v>
      </c>
    </row>
    <row r="268" customFormat="false" ht="14.15" hidden="false" customHeight="false" outlineLevel="0" collapsed="false">
      <c r="A268" s="6" t="str">
        <f aca="false">'WPFS Bachelor'!A44</f>
        <v>20252</v>
      </c>
      <c r="B268" s="6" t="str">
        <f aca="false">'WPFS Bachelor'!B44</f>
        <v>001-912005</v>
      </c>
      <c r="C268" s="9" t="str">
        <f aca="false">'WPFS Bachelor'!C44</f>
        <v>Portugiesisch A1</v>
      </c>
      <c r="D268" s="7" t="n">
        <f aca="false">'WPFS Bachelor'!D44</f>
        <v>0</v>
      </c>
      <c r="E268" s="6" t="n">
        <f aca="false">'WPFS Bachelor'!E44</f>
        <v>0</v>
      </c>
      <c r="F268" s="6" t="n">
        <f aca="false">'WPFS Bachelor'!F44</f>
        <v>0</v>
      </c>
      <c r="G268" s="6" t="str">
        <f aca="false">'WPFS Bachelor'!G44</f>
        <v>2-Fr</v>
      </c>
      <c r="H268" s="8" t="n">
        <f aca="false">'WPFS Bachelor'!H44</f>
        <v>46052</v>
      </c>
      <c r="I268" s="6" t="str">
        <f aca="false">'WPFS Bachelor'!I44</f>
        <v>18:15 - 19:45</v>
      </c>
      <c r="J268" s="6" t="n">
        <f aca="false">'WPFS Bachelor'!J44</f>
        <v>0</v>
      </c>
      <c r="K268" s="9" t="str">
        <f aca="false">'WPFS Bachelor'!K44</f>
        <v>Correia, Ana Paula, Frau (LBA) - 4.000 SWS</v>
      </c>
      <c r="L268" s="1" t="n">
        <f aca="false">'WPFS Bachelor'!L28</f>
        <v>0</v>
      </c>
      <c r="M268" s="1" t="n">
        <f aca="false">'WPFS Bachelor'!M28</f>
        <v>0</v>
      </c>
    </row>
    <row r="269" customFormat="false" ht="14.15" hidden="false" customHeight="false" outlineLevel="0" collapsed="false">
      <c r="A269" s="6" t="str">
        <f aca="false">Optionen!A7</f>
        <v>20252</v>
      </c>
      <c r="B269" s="6" t="str">
        <f aca="false">Optionen!B7</f>
        <v>000-11030</v>
      </c>
      <c r="C269" s="9" t="str">
        <f aca="false">Optionen!C7</f>
        <v>Bank- und Finanzmanagement</v>
      </c>
      <c r="D269" s="6" t="n">
        <f aca="false">Optionen!D7</f>
        <v>0</v>
      </c>
      <c r="E269" s="6" t="n">
        <f aca="false">Optionen!E7</f>
        <v>25</v>
      </c>
      <c r="F269" s="28" t="n">
        <f aca="false">Optionen!F7</f>
        <v>0.1</v>
      </c>
      <c r="G269" s="6" t="str">
        <f aca="false">Optionen!G7</f>
        <v>2-Fr</v>
      </c>
      <c r="H269" s="8" t="n">
        <f aca="false">Optionen!H7</f>
        <v>46052</v>
      </c>
      <c r="I269" s="6" t="str">
        <f aca="false">Optionen!I7</f>
        <v>16:00 - 17:30</v>
      </c>
      <c r="J269" s="6" t="str">
        <f aca="false">Optionen!J7</f>
        <v>d1.08/d1.10, A0.12</v>
      </c>
      <c r="K269" s="9" t="str">
        <f aca="false">Optionen!K7</f>
        <v>Wittstock, Anja, Frau Prof. Dr. (Prof) - 4.000 SWS</v>
      </c>
      <c r="L269" s="1" t="n">
        <f aca="false">'WPFS Bachelor'!L29</f>
        <v>0</v>
      </c>
      <c r="M269" s="1" t="n">
        <f aca="false">'WPFS Bachelor'!M29</f>
        <v>0</v>
      </c>
    </row>
    <row r="270" customFormat="false" ht="14.15" hidden="false" customHeight="false" outlineLevel="0" collapsed="false">
      <c r="A270" s="6" t="str">
        <f aca="false">Optionen!A42</f>
        <v>20252</v>
      </c>
      <c r="B270" s="6" t="str">
        <f aca="false">Optionen!B42</f>
        <v>000-25057</v>
      </c>
      <c r="C270" s="9" t="str">
        <f aca="false">Optionen!C42</f>
        <v>Social Competence, Business Etiquette and Business Ethics</v>
      </c>
      <c r="D270" s="6" t="n">
        <f aca="false">Optionen!D42</f>
        <v>0</v>
      </c>
      <c r="E270" s="6" t="n">
        <f aca="false">Optionen!E42</f>
        <v>23</v>
      </c>
      <c r="F270" s="6" t="n">
        <f aca="false">Optionen!F42</f>
        <v>0</v>
      </c>
      <c r="G270" s="6" t="str">
        <f aca="false">Optionen!G42</f>
        <v>2-Fr</v>
      </c>
      <c r="H270" s="8" t="n">
        <f aca="false">Optionen!H42</f>
        <v>46052</v>
      </c>
      <c r="I270" s="6" t="str">
        <f aca="false">Optionen!I42</f>
        <v>11:45 - 13:15</v>
      </c>
      <c r="J270" s="6" t="str">
        <f aca="false">Optionen!J42</f>
        <v>c3.10</v>
      </c>
      <c r="K270" s="9" t="str">
        <f aca="false">Optionen!K42</f>
        <v>Schlemmer-Bockius, Dagmar, Frau (LKfbA) - 4.000 SWS</v>
      </c>
      <c r="L270" s="1" t="n">
        <f aca="false">'WPFS Bachelor'!L30</f>
        <v>0</v>
      </c>
      <c r="M270" s="1" t="n">
        <f aca="false">'WPFS Bachelor'!M30</f>
        <v>0</v>
      </c>
    </row>
    <row r="271" customFormat="false" ht="14.15" hidden="false" customHeight="false" outlineLevel="0" collapsed="false">
      <c r="A271" s="6" t="str">
        <f aca="false">Optionen!A46</f>
        <v>20252</v>
      </c>
      <c r="B271" s="6" t="str">
        <f aca="false">Optionen!B46</f>
        <v>000-25050</v>
      </c>
      <c r="C271" s="9" t="str">
        <f aca="false">Optionen!C46</f>
        <v>Steuerbilanz und IT</v>
      </c>
      <c r="D271" s="6" t="n">
        <f aca="false">Optionen!D46</f>
        <v>0</v>
      </c>
      <c r="E271" s="6" t="n">
        <f aca="false">Optionen!E46</f>
        <v>17</v>
      </c>
      <c r="F271" s="6" t="n">
        <f aca="false">Optionen!F46</f>
        <v>0</v>
      </c>
      <c r="G271" s="6" t="str">
        <f aca="false">Optionen!G46</f>
        <v>2-Fr</v>
      </c>
      <c r="H271" s="8" t="n">
        <f aca="false">Optionen!H46</f>
        <v>46052</v>
      </c>
      <c r="I271" s="6" t="str">
        <f aca="false">Optionen!I46</f>
        <v>18:15 - 20:15</v>
      </c>
      <c r="J271" s="6" t="str">
        <f aca="false">Optionen!J46</f>
        <v>c3.10</v>
      </c>
      <c r="K271" s="9" t="str">
        <f aca="false">Optionen!K46</f>
        <v>Kämmerer, Bardo, Herr Prof. Dr. (Prof) - 4.000 SWS</v>
      </c>
      <c r="L271" s="1" t="n">
        <f aca="false">'WPFS Bachelor'!L31</f>
        <v>0</v>
      </c>
      <c r="M271" s="1" t="n">
        <f aca="false">'WPFS Bachelor'!M31</f>
        <v>0</v>
      </c>
    </row>
    <row r="272" customFormat="false" ht="26.85" hidden="false" customHeight="false" outlineLevel="0" collapsed="false">
      <c r="A272" s="6" t="str">
        <f aca="false">'WR LLM'!A5</f>
        <v>w</v>
      </c>
      <c r="B272" s="6" t="str">
        <f aca="false">'WR LLM'!B5</f>
        <v>932-60104</v>
      </c>
      <c r="C272" s="9" t="str">
        <f aca="false">'WR LLM'!C5</f>
        <v>Kollektives Arbeitsrecht</v>
      </c>
      <c r="D272" s="6" t="n">
        <f aca="false">'WR LLM'!D5</f>
        <v>0</v>
      </c>
      <c r="E272" s="6" t="n">
        <f aca="false">'WR LLM'!E5</f>
        <v>4</v>
      </c>
      <c r="F272" s="6" t="n">
        <f aca="false">'WR LLM'!F5</f>
        <v>0</v>
      </c>
      <c r="G272" s="6" t="str">
        <f aca="false">'WR LLM'!G5</f>
        <v>2-Fr</v>
      </c>
      <c r="H272" s="8" t="n">
        <f aca="false">'WR LLM'!H5</f>
        <v>46052</v>
      </c>
      <c r="I272" s="6" t="str">
        <f aca="false">'WR LLM'!I5</f>
        <v>16:30 - 18:30</v>
      </c>
      <c r="J272" s="6" t="str">
        <f aca="false">'WR LLM'!J5</f>
        <v>b1.05/b1.07</v>
      </c>
      <c r="K272" s="9" t="str">
        <f aca="false">'WR LLM'!K5</f>
        <v>Wall, Daniel, Herr (LBA) - 2.000 SWS;Walser, Manfred, Herr Prof. Dr. (Prof) - 2.000 SWS</v>
      </c>
      <c r="L272" s="1" t="n">
        <f aca="false">'WPFS Bachelor'!L32</f>
        <v>0</v>
      </c>
      <c r="M272" s="1" t="n">
        <f aca="false">'WPFS Bachelor'!M32</f>
        <v>0</v>
      </c>
    </row>
    <row r="273" customFormat="false" ht="26.85" hidden="false" customHeight="false" outlineLevel="0" collapsed="false">
      <c r="A273" s="6" t="str">
        <f aca="false">'BA MSc'!A12</f>
        <v>w</v>
      </c>
      <c r="B273" s="6" t="str">
        <f aca="false">'BA MSc'!B12</f>
        <v>A23-70202</v>
      </c>
      <c r="C273" s="9" t="str">
        <f aca="false">'BA MSc'!C12</f>
        <v>Forschungsmethoden der BWL</v>
      </c>
      <c r="D273" s="7" t="str">
        <f aca="false">'BA MSc'!D12</f>
        <v>60202, 52205</v>
      </c>
      <c r="E273" s="6" t="n">
        <f aca="false">'BA MSc'!E12</f>
        <v>6</v>
      </c>
      <c r="F273" s="6" t="n">
        <f aca="false">'BA MSc'!F12</f>
        <v>0</v>
      </c>
      <c r="G273" s="6" t="str">
        <f aca="false">'BA MSc'!G12</f>
        <v>2-Fr</v>
      </c>
      <c r="H273" s="8" t="n">
        <f aca="false">'BA MSc'!H12</f>
        <v>46052</v>
      </c>
      <c r="I273" s="6" t="str">
        <f aca="false">'BA MSc'!I12</f>
        <v>18:15 - 20:15</v>
      </c>
      <c r="J273" s="6" t="str">
        <f aca="false">'BA MSc'!J12</f>
        <v>c3.04</v>
      </c>
      <c r="K273" s="9" t="str">
        <f aca="false">'BA MSc'!K12</f>
        <v>Höllen, Max, Herr (LBA) - 1.000 SWS;Schlütter, Sebastian, Herr Prof. Dr. (Prof) - 3.000 SWS</v>
      </c>
      <c r="L273" s="1" t="n">
        <f aca="false">'WPFS Bachelor'!L33</f>
        <v>0</v>
      </c>
      <c r="M273" s="1" t="n">
        <f aca="false">'WPFS Bachelor'!M33</f>
        <v>0</v>
      </c>
    </row>
    <row r="274" customFormat="false" ht="14.15" hidden="false" customHeight="false" outlineLevel="0" collapsed="false">
      <c r="A274" s="6" t="str">
        <f aca="false">Optionen!A47</f>
        <v>20252</v>
      </c>
      <c r="B274" s="6" t="str">
        <f aca="false">Optionen!B47</f>
        <v>000-25069</v>
      </c>
      <c r="C274" s="9" t="str">
        <f aca="false">Optionen!C47</f>
        <v>Sustainability Reporting (50 Projektarbeit, 50% Klausur)</v>
      </c>
      <c r="D274" s="6" t="n">
        <f aca="false">Optionen!D47</f>
        <v>0</v>
      </c>
      <c r="E274" s="6" t="n">
        <f aca="false">Optionen!E47</f>
        <v>0</v>
      </c>
      <c r="F274" s="6" t="n">
        <f aca="false">Optionen!F47</f>
        <v>0</v>
      </c>
      <c r="G274" s="6" t="str">
        <f aca="false">Optionen!G47</f>
        <v>2-Fr</v>
      </c>
      <c r="H274" s="8" t="n">
        <f aca="false">Optionen!H47</f>
        <v>46052</v>
      </c>
      <c r="I274" s="6" t="str">
        <f aca="false">Optionen!I47</f>
        <v>18:15 - 19:15</v>
      </c>
      <c r="J274" s="6" t="n">
        <f aca="false">Optionen!J47</f>
        <v>0</v>
      </c>
      <c r="K274" s="9" t="str">
        <f aca="false">Optionen!K47</f>
        <v>Dittmar, Peter, Herr Prof. Dr. (Prof) - 4.000 SWS</v>
      </c>
      <c r="L274" s="1" t="n">
        <f aca="false">'WPFS Bachelor'!L34</f>
        <v>0</v>
      </c>
      <c r="M274" s="1" t="n">
        <f aca="false">'WPFS Bachelor'!M34</f>
        <v>0</v>
      </c>
    </row>
    <row r="275" customFormat="false" ht="14.15" hidden="false" customHeight="false" outlineLevel="0" collapsed="false">
      <c r="A275" s="6" t="str">
        <f aca="false">'DIM VZ u. dual BSc'!A15</f>
        <v>20252</v>
      </c>
      <c r="B275" s="6" t="str">
        <f aca="false">'DIM VZ u. dual BSc'!B15</f>
        <v>D01/D08-2301 (A)</v>
      </c>
      <c r="C275" s="6" t="str">
        <f aca="false">'DIM VZ u. dual BSc'!C15</f>
        <v>Medienproduktion II (Bild &amp; Ton) (Projektarbeit)</v>
      </c>
      <c r="D275" s="6" t="n">
        <f aca="false">'DIM VZ u. dual BSc'!D15</f>
        <v>0</v>
      </c>
      <c r="E275" s="6" t="n">
        <f aca="false">'DIM VZ u. dual BSc'!E15</f>
        <v>26</v>
      </c>
      <c r="F275" s="6" t="n">
        <f aca="false">'DIM VZ u. dual BSc'!F15</f>
        <v>0</v>
      </c>
      <c r="G275" s="6" t="str">
        <f aca="false">'DIM VZ u. dual BSc'!G15</f>
        <v>2-Fr</v>
      </c>
      <c r="H275" s="8" t="n">
        <f aca="false">'DIM VZ u. dual BSc'!H15</f>
        <v>46052</v>
      </c>
      <c r="I275" s="6" t="str">
        <f aca="false">'DIM VZ u. dual BSc'!I15</f>
        <v>15:45 - 19:00</v>
      </c>
      <c r="J275" s="6" t="str">
        <f aca="false">'DIM VZ u. dual BSc'!J15</f>
        <v>d0.01</v>
      </c>
      <c r="K275" s="9" t="str">
        <f aca="false">'DIM VZ u. dual BSc'!K15</f>
        <v>Rauh, Simon, Herr (LBA) - 3.000 SWS</v>
      </c>
      <c r="L275" s="1" t="n">
        <f aca="false">'WPFS Bachelor'!L35</f>
        <v>0</v>
      </c>
      <c r="M275" s="1" t="n">
        <f aca="false">'WPFS Bachelor'!M35</f>
        <v>0</v>
      </c>
    </row>
    <row r="276" customFormat="false" ht="14.15" hidden="false" customHeight="false" outlineLevel="0" collapsed="false">
      <c r="A276" s="6" t="str">
        <f aca="false">'DIM VZ u. dual BSc'!A16</f>
        <v>20252</v>
      </c>
      <c r="B276" s="6" t="str">
        <f aca="false">'DIM VZ u. dual BSc'!B16</f>
        <v>D01/D08-2301 (B)</v>
      </c>
      <c r="C276" s="6" t="str">
        <f aca="false">'DIM VZ u. dual BSc'!C16</f>
        <v>Medienproduktion II (Bild &amp; Ton) (Projektarbeit)</v>
      </c>
      <c r="D276" s="6" t="n">
        <f aca="false">'DIM VZ u. dual BSc'!D16</f>
        <v>0</v>
      </c>
      <c r="E276" s="6" t="n">
        <f aca="false">'DIM VZ u. dual BSc'!E16</f>
        <v>1</v>
      </c>
      <c r="F276" s="6" t="n">
        <f aca="false">'DIM VZ u. dual BSc'!F16</f>
        <v>0</v>
      </c>
      <c r="G276" s="6" t="str">
        <f aca="false">'DIM VZ u. dual BSc'!G16</f>
        <v>2-Fr</v>
      </c>
      <c r="H276" s="8" t="n">
        <f aca="false">'DIM VZ u. dual BSc'!H16</f>
        <v>46052</v>
      </c>
      <c r="I276" s="6" t="str">
        <f aca="false">'DIM VZ u. dual BSc'!I16</f>
        <v>15:45 - 19:00</v>
      </c>
      <c r="J276" s="6" t="str">
        <f aca="false">'DIM VZ u. dual BSc'!J16</f>
        <v>d0.01</v>
      </c>
      <c r="K276" s="9" t="str">
        <f aca="false">'DIM VZ u. dual BSc'!K16</f>
        <v>Heidenreich, Merlin, Herr (LBA) - 3.000 SWS</v>
      </c>
      <c r="L276" s="1" t="n">
        <f aca="false">'WPFS Bachelor'!L36</f>
        <v>0</v>
      </c>
      <c r="M276" s="1" t="n">
        <f aca="false">'WPFS Bachelor'!M36</f>
        <v>0</v>
      </c>
    </row>
    <row r="277" customFormat="false" ht="14.15" hidden="false" customHeight="false" outlineLevel="0" collapsed="false">
      <c r="A277" s="6" t="str">
        <f aca="false">'WR LLB'!A48</f>
        <v>20252</v>
      </c>
      <c r="B277" s="6" t="str">
        <f aca="false">'WR LLB'!B48</f>
        <v>932-2402</v>
      </c>
      <c r="C277" s="6" t="str">
        <f aca="false">'WR LLB'!C48</f>
        <v>Steuerrecht II - USt &amp; Unternehmenssteuern</v>
      </c>
      <c r="D277" s="7" t="str">
        <f aca="false">'WR LLB'!D48</f>
        <v>1403, 042B-305-P</v>
      </c>
      <c r="E277" s="6" t="n">
        <f aca="false">'WR LLB'!E48</f>
        <v>30</v>
      </c>
      <c r="F277" s="28" t="n">
        <f aca="false">'WR LLB'!F48</f>
        <v>0.5</v>
      </c>
      <c r="G277" s="6" t="str">
        <f aca="false">'WR LLB'!G48</f>
        <v>2-Sa</v>
      </c>
      <c r="H277" s="8" t="n">
        <f aca="false">'WR LLB'!H48</f>
        <v>46053</v>
      </c>
      <c r="I277" s="6" t="str">
        <f aca="false">'WR LLB'!I48</f>
        <v>09:30 - 11:30</v>
      </c>
      <c r="J277" s="6" t="str">
        <f aca="false">'WR LLB'!J48</f>
        <v>a3.06, a3.08, A0.12</v>
      </c>
      <c r="K277" s="9" t="str">
        <f aca="false">'WR LLB'!K48</f>
        <v>Nünke, Nils, Herr (LBA) - 4.000 SWS</v>
      </c>
      <c r="L277" s="1" t="n">
        <f aca="false">'WPFS Bachelor'!L37</f>
        <v>0</v>
      </c>
      <c r="M277" s="1" t="n">
        <f aca="false">'WPFS Bachelor'!M37</f>
        <v>0</v>
      </c>
    </row>
    <row r="278" customFormat="false" ht="14.15" hidden="false" customHeight="false" outlineLevel="0" collapsed="false">
      <c r="A278" s="6" t="str">
        <f aca="false">'WR LLB'!A70</f>
        <v>20252</v>
      </c>
      <c r="B278" s="6" t="str">
        <f aca="false">'WR LLB'!B70</f>
        <v>932-2701</v>
      </c>
      <c r="C278" s="6" t="str">
        <f aca="false">'WR LLB'!C70</f>
        <v>Unternehmensrecht - Examinatorium</v>
      </c>
      <c r="D278" s="7" t="str">
        <f aca="false">'WR LLB'!D70</f>
        <v>1704, 042B-602-P</v>
      </c>
      <c r="E278" s="6" t="n">
        <f aca="false">'WR LLB'!E70</f>
        <v>34</v>
      </c>
      <c r="F278" s="6" t="n">
        <f aca="false">'WR LLB'!F70</f>
        <v>0</v>
      </c>
      <c r="G278" s="6" t="str">
        <f aca="false">'WR LLB'!G70</f>
        <v>2-Sa</v>
      </c>
      <c r="H278" s="8" t="n">
        <f aca="false">'WR LLB'!H70</f>
        <v>46053</v>
      </c>
      <c r="I278" s="6" t="str">
        <f aca="false">'WR LLB'!I70</f>
        <v>09:30 - 13:30</v>
      </c>
      <c r="J278" s="6" t="str">
        <f aca="false">'WR LLB'!J70</f>
        <v>c3.04, c3.06</v>
      </c>
      <c r="K278" s="6" t="str">
        <f aca="false">'WR LLB'!K70</f>
        <v>Haas, Ingeborg, Frau Prof. Dr. (Prof) - 2.000 SWS;Kämpf, Hanno, Herr Prof. Dr. (Prof) - 0.500 SWS;Dahm, Katharina, Frau Prof. Dr. (Prof) - 1.000 SWS;Nerenberg, Colin, Herr (LKfbA) - 0.500 SWS</v>
      </c>
      <c r="L278" s="1" t="n">
        <f aca="false">'WPFS Bachelor'!L38</f>
        <v>0</v>
      </c>
      <c r="M278" s="1" t="n">
        <f aca="false">'WPFS Bachelor'!M38</f>
        <v>0</v>
      </c>
    </row>
    <row r="279" customFormat="false" ht="52.2" hidden="false" customHeight="false" outlineLevel="0" collapsed="false">
      <c r="A279" s="6" t="str">
        <f aca="false">'WR LLM'!A16</f>
        <v>w</v>
      </c>
      <c r="B279" s="6" t="str">
        <f aca="false">'WR LLM'!B16</f>
        <v>932-60322</v>
      </c>
      <c r="C279" s="9" t="str">
        <f aca="false">'WR LLM'!C16</f>
        <v>Praktikumsbegleitendes Examinatorium</v>
      </c>
      <c r="D279" s="6" t="n">
        <f aca="false">'WR LLM'!D16</f>
        <v>0</v>
      </c>
      <c r="E279" s="6" t="n">
        <f aca="false">'WR LLM'!E16</f>
        <v>1</v>
      </c>
      <c r="F279" s="6" t="n">
        <f aca="false">'WR LLM'!F16</f>
        <v>0</v>
      </c>
      <c r="G279" s="6" t="str">
        <f aca="false">'WR LLM'!G16</f>
        <v>2-Sa</v>
      </c>
      <c r="H279" s="8" t="n">
        <f aca="false">'WR LLM'!H16</f>
        <v>46053</v>
      </c>
      <c r="I279" s="6" t="str">
        <f aca="false">'WR LLM'!I16</f>
        <v>09:30 - 13:30</v>
      </c>
      <c r="J279" s="6" t="str">
        <f aca="false">'WR LLM'!J16</f>
        <v>a3.04</v>
      </c>
      <c r="K279" s="9" t="str">
        <f aca="false"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79" s="1" t="n">
        <f aca="false">'WPFS Bachelor'!L39</f>
        <v>0</v>
      </c>
      <c r="M279" s="1" t="n">
        <f aca="false">'WPFS Bachelor'!M39</f>
        <v>0</v>
      </c>
    </row>
    <row r="280" customFormat="false" ht="14.15" hidden="false" customHeight="false" outlineLevel="0" collapsed="false">
      <c r="A280" s="6" t="str">
        <f aca="false">'WPFS Bachelor'!A21</f>
        <v>20252</v>
      </c>
      <c r="B280" s="6" t="str">
        <f aca="false">'WPFS Bachelor'!B21</f>
        <v>001-901225</v>
      </c>
      <c r="C280" s="6" t="str">
        <f aca="false">'WPFS Bachelor'!C21</f>
        <v>Spanisch B1.2</v>
      </c>
      <c r="D280" s="7" t="str">
        <f aca="false">'WPFS Bachelor'!D21</f>
        <v>001-901223, B09-60182</v>
      </c>
      <c r="E280" s="6" t="n">
        <f aca="false">'WPFS Bachelor'!E21</f>
        <v>0</v>
      </c>
      <c r="F280" s="6" t="n">
        <f aca="false">'WPFS Bachelor'!F21</f>
        <v>0</v>
      </c>
      <c r="G280" s="6" t="str">
        <f aca="false">'WPFS Bachelor'!G21</f>
        <v>keine Klausur (Prüfung ist mit dem Lehrenden abzustimmen)</v>
      </c>
      <c r="H280" s="8" t="str">
        <f aca="false">'WPFS Bachelor'!H21</f>
        <v>kein Klausur</v>
      </c>
      <c r="I280" s="6" t="str">
        <f aca="false">'WPFS Bachelor'!I21</f>
        <v>kein Klausur</v>
      </c>
      <c r="J280" s="6" t="n">
        <f aca="false">'WPFS Bachelor'!J21</f>
        <v>0</v>
      </c>
      <c r="K280" s="9" t="str">
        <f aca="false">'WPFS Bachelor'!K21</f>
        <v>Garcia Fernandez, Analia Gabriela 4,0 SWS</v>
      </c>
      <c r="L280" s="1" t="n">
        <f aca="false">'WPFS Bachelor'!L40</f>
        <v>0</v>
      </c>
      <c r="M280" s="1" t="n">
        <f aca="false">'WPFS Bachelor'!M40</f>
        <v>0</v>
      </c>
    </row>
    <row r="281" customFormat="false" ht="14.15" hidden="false" customHeight="false" outlineLevel="0" collapsed="false">
      <c r="A281" s="6" t="str">
        <f aca="false">'WPFS Bachelor'!A23</f>
        <v>20252</v>
      </c>
      <c r="B281" s="6" t="str">
        <f aca="false">'WPFS Bachelor'!B23</f>
        <v>001-901325</v>
      </c>
      <c r="C281" s="6" t="str">
        <f aca="false">'WPFS Bachelor'!C23</f>
        <v>Spanisch B2.2</v>
      </c>
      <c r="D281" s="7" t="str">
        <f aca="false">'WPFS Bachelor'!D23</f>
        <v>B09-60381</v>
      </c>
      <c r="E281" s="6" t="n">
        <f aca="false">'WPFS Bachelor'!E23</f>
        <v>4</v>
      </c>
      <c r="F281" s="6" t="n">
        <f aca="false">'WPFS Bachelor'!F23</f>
        <v>0</v>
      </c>
      <c r="G281" s="6" t="str">
        <f aca="false">'WPFS Bachelor'!G23</f>
        <v>keine Klausur (Prüfung ist mit dem Lehrenden abzustimmen)</v>
      </c>
      <c r="H281" s="8" t="str">
        <f aca="false">'WPFS Bachelor'!H23</f>
        <v>kein Klausur</v>
      </c>
      <c r="I281" s="6" t="str">
        <f aca="false">'WPFS Bachelor'!I23</f>
        <v>kein Klausur</v>
      </c>
      <c r="J281" s="6" t="n">
        <f aca="false">'WPFS Bachelor'!J23</f>
        <v>0</v>
      </c>
      <c r="K281" s="9" t="str">
        <f aca="false">'WPFS Bachelor'!K23</f>
        <v>Garcia Fernandez, Analia Gabriela 4,0 SWS</v>
      </c>
      <c r="L281" s="1" t="n">
        <f aca="false">'WPFS Bachelor'!L41</f>
        <v>0</v>
      </c>
      <c r="M281" s="1" t="n">
        <f aca="false">'WPFS Bachelor'!M41</f>
        <v>0</v>
      </c>
    </row>
    <row r="282" customFormat="false" ht="14.15" hidden="false" customHeight="false" outlineLevel="0" collapsed="false">
      <c r="A282" s="6" t="str">
        <f aca="false">'IB &amp; IMLA MA'!A21</f>
        <v>20252</v>
      </c>
      <c r="B282" s="6" t="str">
        <f aca="false">'IB &amp; IMLA MA'!B21</f>
        <v>F39M-106-PS</v>
      </c>
      <c r="C282" s="6" t="str">
        <f aca="false">'IB &amp; IMLA MA'!C21</f>
        <v>Castellano y Cultura Argentina B1.2</v>
      </c>
      <c r="D282" s="7" t="str">
        <f aca="false">'IB &amp; IMLA MA'!D21</f>
        <v>B09-60182, 001-901225</v>
      </c>
      <c r="E282" s="6" t="n">
        <f aca="false">'IB &amp; IMLA MA'!E21</f>
        <v>0</v>
      </c>
      <c r="F282" s="6" t="n">
        <f aca="false">'IB &amp; IMLA MA'!F21</f>
        <v>0</v>
      </c>
      <c r="G282" s="6" t="str">
        <f aca="false">'IB &amp; IMLA MA'!G21</f>
        <v>keine Klausur (Prüfung ist mit dem Lehrenden abzustimmen)</v>
      </c>
      <c r="H282" s="8" t="str">
        <f aca="false">'IB &amp; IMLA MA'!H21</f>
        <v>kein Klausur</v>
      </c>
      <c r="I282" s="6" t="str">
        <f aca="false">'IB &amp; IMLA MA'!I21</f>
        <v>kein Klausur</v>
      </c>
      <c r="J282" s="6" t="n">
        <f aca="false">'IB &amp; IMLA MA'!J21</f>
        <v>0</v>
      </c>
      <c r="K282" s="9" t="str">
        <f aca="false">'IB &amp; IMLA MA'!K21</f>
        <v>Garcia Fernandez, Analia Gabriela, Frau (LKfbA) - 4.000 SWS</v>
      </c>
      <c r="L282" s="1" t="n">
        <f aca="false">'WPFS Bachelor'!L42</f>
        <v>0</v>
      </c>
      <c r="M282" s="1" t="n">
        <f aca="false">'WPFS Bachelor'!M42</f>
        <v>0</v>
      </c>
    </row>
    <row r="283" customFormat="false" ht="14.15" hidden="false" customHeight="false" outlineLevel="0" collapsed="false">
      <c r="A283" s="6" t="str">
        <f aca="false">'BWL BSc u. BWL ÖD BSc'!A22</f>
        <v>20252</v>
      </c>
      <c r="B283" s="6" t="str">
        <f aca="false">'BWL BSc u. BWL ÖD BSc'!B22</f>
        <v>021/D43-3106 (A)</v>
      </c>
      <c r="C283" s="6" t="str">
        <f aca="false">'BWL BSc u. BWL ÖD BSc'!C22</f>
        <v>Methodik, Systematik &amp; Präsentation</v>
      </c>
      <c r="D283" s="7" t="n">
        <f aca="false">'BWL BSc u. BWL ÖD BSc'!D22</f>
        <v>2106</v>
      </c>
      <c r="E283" s="6" t="n">
        <f aca="false">'BWL BSc u. BWL ÖD BSc'!E22</f>
        <v>44</v>
      </c>
      <c r="F283" s="6" t="n">
        <f aca="false">'BWL BSc u. BWL ÖD BSc'!F22</f>
        <v>0</v>
      </c>
      <c r="G283" s="6" t="str">
        <f aca="false">'BWL BSc u. BWL ÖD BSc'!G22</f>
        <v>keine Klausur (Prüfung ist mit dem Lehrenden abzustimmen)</v>
      </c>
      <c r="H283" s="8" t="str">
        <f aca="false">'BWL BSc u. BWL ÖD BSc'!H22</f>
        <v>kein Klausur</v>
      </c>
      <c r="I283" s="6" t="str">
        <f aca="false">'BWL BSc u. BWL ÖD BSc'!I22</f>
        <v>kein Klausur</v>
      </c>
      <c r="J283" s="8" t="n">
        <f aca="false">'BWL BSc u. BWL ÖD BSc'!J22</f>
        <v>0</v>
      </c>
      <c r="K283" s="9" t="str">
        <f aca="false">'BWL BSc u. BWL ÖD BSc'!K22</f>
        <v>Flick, Caroline, Frau Prof. Dr. (Prof) - 4.000 SWS</v>
      </c>
      <c r="L283" s="1" t="n">
        <f aca="false">'WPFS Bachelor'!L43</f>
        <v>0</v>
      </c>
      <c r="M283" s="1" t="n">
        <f aca="false">'WPFS Bachelor'!M43</f>
        <v>0</v>
      </c>
    </row>
    <row r="284" customFormat="false" ht="14.15" hidden="false" customHeight="false" outlineLevel="0" collapsed="false">
      <c r="A284" s="6" t="str">
        <f aca="false">'BWL BSc u. BWL ÖD BSc'!A23</f>
        <v>20252</v>
      </c>
      <c r="B284" s="6" t="str">
        <f aca="false">'BWL BSc u. BWL ÖD BSc'!B23</f>
        <v>021-3106 (B)</v>
      </c>
      <c r="C284" s="6" t="str">
        <f aca="false">'BWL BSc u. BWL ÖD BSc'!C23</f>
        <v>Methodik, Systematik &amp; Präsentation</v>
      </c>
      <c r="D284" s="7" t="n">
        <f aca="false">'BWL BSc u. BWL ÖD BSc'!D23</f>
        <v>0</v>
      </c>
      <c r="E284" s="6" t="n">
        <f aca="false">'BWL BSc u. BWL ÖD BSc'!E23</f>
        <v>36</v>
      </c>
      <c r="F284" s="6" t="n">
        <f aca="false">'BWL BSc u. BWL ÖD BSc'!F23</f>
        <v>0</v>
      </c>
      <c r="G284" s="6" t="str">
        <f aca="false">'BWL BSc u. BWL ÖD BSc'!G23</f>
        <v>keine Klausur (Prüfung ist mit dem Lehrenden abzustimmen)</v>
      </c>
      <c r="H284" s="8" t="str">
        <f aca="false">'BWL BSc u. BWL ÖD BSc'!H23</f>
        <v>kein Klausur</v>
      </c>
      <c r="I284" s="6" t="str">
        <f aca="false">'BWL BSc u. BWL ÖD BSc'!I23</f>
        <v>kein Klausur</v>
      </c>
      <c r="J284" s="8" t="n">
        <f aca="false">'BWL BSc u. BWL ÖD BSc'!J23</f>
        <v>0</v>
      </c>
      <c r="K284" s="9" t="str">
        <f aca="false">'BWL BSc u. BWL ÖD BSc'!K23</f>
        <v>Hensel, Claudia, Frau Prof. Dr. (Prof) - 4.000 SWS</v>
      </c>
      <c r="L284" s="1" t="n">
        <f aca="false">'WPFS Bachelor'!L44</f>
        <v>0</v>
      </c>
      <c r="M284" s="1" t="n">
        <f aca="false">'WPFS Bachelor'!M44</f>
        <v>0</v>
      </c>
    </row>
    <row r="285" customFormat="false" ht="14.15" hidden="false" customHeight="false" outlineLevel="0" collapsed="false">
      <c r="A285" s="6" t="str">
        <f aca="false">'BWL BSc u. BWL ÖD BSc'!A24</f>
        <v>20252</v>
      </c>
      <c r="B285" s="6" t="str">
        <f aca="false">'BWL BSc u. BWL ÖD BSc'!B24</f>
        <v>021-3106 (C)</v>
      </c>
      <c r="C285" s="6" t="str">
        <f aca="false">'BWL BSc u. BWL ÖD BSc'!C24</f>
        <v>Methodik, Systematik &amp; Präsentation</v>
      </c>
      <c r="D285" s="7" t="n">
        <f aca="false">'BWL BSc u. BWL ÖD BSc'!D24</f>
        <v>0</v>
      </c>
      <c r="E285" s="6" t="n">
        <f aca="false">'BWL BSc u. BWL ÖD BSc'!E24</f>
        <v>46</v>
      </c>
      <c r="F285" s="6" t="n">
        <f aca="false">'BWL BSc u. BWL ÖD BSc'!F24</f>
        <v>0</v>
      </c>
      <c r="G285" s="6" t="str">
        <f aca="false">'BWL BSc u. BWL ÖD BSc'!G24</f>
        <v>keine Klausur (Prüfung ist mit dem Lehrenden abzustimmen)</v>
      </c>
      <c r="H285" s="8" t="str">
        <f aca="false">'BWL BSc u. BWL ÖD BSc'!H24</f>
        <v>kein Klausur</v>
      </c>
      <c r="I285" s="6" t="str">
        <f aca="false">'BWL BSc u. BWL ÖD BSc'!I24</f>
        <v>kein Klausur</v>
      </c>
      <c r="J285" s="8" t="n">
        <f aca="false">'BWL BSc u. BWL ÖD BSc'!J24</f>
        <v>0</v>
      </c>
      <c r="K285" s="9" t="str">
        <f aca="false">'BWL BSc u. BWL ÖD BSc'!K24</f>
        <v>Hensel, Claudia, Frau Prof. Dr. (Prof) - 4.000 SWS</v>
      </c>
      <c r="L285" s="1" t="n">
        <f aca="false">'WPFS Bachelor'!L45</f>
        <v>0</v>
      </c>
      <c r="M285" s="1" t="n">
        <f aca="false">'WPFS Bachelor'!M45</f>
        <v>0</v>
      </c>
    </row>
    <row r="286" customFormat="false" ht="14.15" hidden="false" customHeight="false" outlineLevel="0" collapsed="false">
      <c r="A286" s="6" t="str">
        <f aca="false">'BWL BSc u. BWL ÖD BSc'!A40</f>
        <v>20252</v>
      </c>
      <c r="B286" s="6" t="str">
        <f aca="false">'BWL BSc u. BWL ÖD BSc'!B40</f>
        <v>021/D43-3254 (A)</v>
      </c>
      <c r="C286" s="6" t="str">
        <f aca="false">'BWL BSc u. BWL ÖD BSc'!C40</f>
        <v>Project Management</v>
      </c>
      <c r="D286" s="6" t="n">
        <f aca="false">'BWL BSc u. BWL ÖD BSc'!D40</f>
        <v>2254</v>
      </c>
      <c r="E286" s="6" t="n">
        <f aca="false">'BWL BSc u. BWL ÖD BSc'!E40</f>
        <v>41</v>
      </c>
      <c r="F286" s="6" t="n">
        <f aca="false">'BWL BSc u. BWL ÖD BSc'!F40</f>
        <v>0</v>
      </c>
      <c r="G286" s="6" t="str">
        <f aca="false">'BWL BSc u. BWL ÖD BSc'!G40</f>
        <v>keine Klausur (Prüfung ist mit dem Lehrenden abzustimmen)</v>
      </c>
      <c r="H286" s="8" t="str">
        <f aca="false">'BWL BSc u. BWL ÖD BSc'!H40</f>
        <v>kein Klausur</v>
      </c>
      <c r="I286" s="6" t="str">
        <f aca="false">'BWL BSc u. BWL ÖD BSc'!I40</f>
        <v>kein Klausur</v>
      </c>
      <c r="J286" s="8" t="n">
        <f aca="false">'BWL BSc u. BWL ÖD BSc'!J40</f>
        <v>0</v>
      </c>
      <c r="K286" s="9" t="str">
        <f aca="false">'BWL BSc u. BWL ÖD BSc'!K40</f>
        <v>Schmidt, Michael, Herr (LBA) - 2.000 SWS</v>
      </c>
      <c r="L286" s="1" t="n">
        <f aca="false">Optionen!L3</f>
        <v>0</v>
      </c>
      <c r="M286" s="1" t="n">
        <f aca="false">Optionen!M3</f>
        <v>0</v>
      </c>
    </row>
    <row r="287" customFormat="false" ht="14.15" hidden="false" customHeight="false" outlineLevel="0" collapsed="false">
      <c r="A287" s="6" t="str">
        <f aca="false">'BWL BSc u. BWL ÖD BSc'!A41</f>
        <v>20252</v>
      </c>
      <c r="B287" s="6" t="str">
        <f aca="false">'BWL BSc u. BWL ÖD BSc'!B41</f>
        <v>021-3254 (B)</v>
      </c>
      <c r="C287" s="6" t="str">
        <f aca="false">'BWL BSc u. BWL ÖD BSc'!C41</f>
        <v>Project Management</v>
      </c>
      <c r="D287" s="6" t="n">
        <f aca="false">'BWL BSc u. BWL ÖD BSc'!D41</f>
        <v>0</v>
      </c>
      <c r="E287" s="6" t="n">
        <f aca="false">'BWL BSc u. BWL ÖD BSc'!E41</f>
        <v>28</v>
      </c>
      <c r="F287" s="6" t="n">
        <f aca="false">'BWL BSc u. BWL ÖD BSc'!F41</f>
        <v>0</v>
      </c>
      <c r="G287" s="6" t="str">
        <f aca="false">'BWL BSc u. BWL ÖD BSc'!G41</f>
        <v>keine Klausur (Prüfung ist mit dem Lehrenden abzustimmen)</v>
      </c>
      <c r="H287" s="8" t="str">
        <f aca="false">'BWL BSc u. BWL ÖD BSc'!H41</f>
        <v>kein Klausur</v>
      </c>
      <c r="I287" s="6" t="str">
        <f aca="false">'BWL BSc u. BWL ÖD BSc'!I41</f>
        <v>kein Klausur</v>
      </c>
      <c r="J287" s="8" t="n">
        <f aca="false">'BWL BSc u. BWL ÖD BSc'!J41</f>
        <v>0</v>
      </c>
      <c r="K287" s="9" t="str">
        <f aca="false">'BWL BSc u. BWL ÖD BSc'!K41</f>
        <v>Kummer, Andreas, Herr (LBA) - 2.000 SWS</v>
      </c>
      <c r="L287" s="1" t="n">
        <f aca="false">Optionen!L4</f>
        <v>0</v>
      </c>
      <c r="M287" s="1" t="n">
        <f aca="false">Optionen!M4</f>
        <v>0</v>
      </c>
    </row>
    <row r="288" customFormat="false" ht="14.15" hidden="false" customHeight="false" outlineLevel="0" collapsed="false">
      <c r="A288" s="6" t="str">
        <f aca="false">'BWL BSc u. BWL ÖD BSc'!A42</f>
        <v>20252</v>
      </c>
      <c r="B288" s="6" t="str">
        <f aca="false">'BWL BSc u. BWL ÖD BSc'!B42</f>
        <v>021-3254 (C)</v>
      </c>
      <c r="C288" s="6" t="str">
        <f aca="false">'BWL BSc u. BWL ÖD BSc'!C42</f>
        <v>Project Management</v>
      </c>
      <c r="D288" s="6" t="n">
        <f aca="false">'BWL BSc u. BWL ÖD BSc'!D42</f>
        <v>0</v>
      </c>
      <c r="E288" s="6" t="n">
        <f aca="false">'BWL BSc u. BWL ÖD BSc'!E42</f>
        <v>36</v>
      </c>
      <c r="F288" s="6" t="n">
        <f aca="false">'BWL BSc u. BWL ÖD BSc'!F42</f>
        <v>0</v>
      </c>
      <c r="G288" s="6" t="str">
        <f aca="false">'BWL BSc u. BWL ÖD BSc'!G42</f>
        <v>keine Klausur (Prüfung ist mit dem Lehrenden abzustimmen)</v>
      </c>
      <c r="H288" s="8" t="str">
        <f aca="false">'BWL BSc u. BWL ÖD BSc'!H42</f>
        <v>kein Klausur</v>
      </c>
      <c r="I288" s="6" t="str">
        <f aca="false">'BWL BSc u. BWL ÖD BSc'!I42</f>
        <v>kein Klausur</v>
      </c>
      <c r="J288" s="8" t="n">
        <f aca="false">'BWL BSc u. BWL ÖD BSc'!J42</f>
        <v>0</v>
      </c>
      <c r="K288" s="9" t="str">
        <f aca="false">'BWL BSc u. BWL ÖD BSc'!K42</f>
        <v>Koenig, Justus, Herr (LBA) - 2.000 SWS</v>
      </c>
      <c r="L288" s="1" t="n">
        <f aca="false">Optionen!L5</f>
        <v>0</v>
      </c>
      <c r="M288" s="1" t="n">
        <f aca="false">Optionen!M5</f>
        <v>0</v>
      </c>
    </row>
    <row r="289" customFormat="false" ht="14.15" hidden="false" customHeight="false" outlineLevel="0" collapsed="false">
      <c r="A289" s="6" t="str">
        <f aca="false">'BWL BSc u. BWL ÖD BSc'!A61</f>
        <v>20252</v>
      </c>
      <c r="B289" s="6" t="str">
        <f aca="false">'BWL BSc u. BWL ÖD BSc'!B61</f>
        <v>021-3380 (C</v>
      </c>
      <c r="C289" s="6" t="str">
        <f aca="false">'BWL BSc u. BWL ÖD BSc'!C61</f>
        <v>Statistisches Forschungsprojekt</v>
      </c>
      <c r="D289" s="6" t="n">
        <f aca="false">'BWL BSc u. BWL ÖD BSc'!D61</f>
        <v>0</v>
      </c>
      <c r="E289" s="6" t="n">
        <f aca="false">'BWL BSc u. BWL ÖD BSc'!E61</f>
        <v>20</v>
      </c>
      <c r="F289" s="28" t="n">
        <f aca="false">'BWL BSc u. BWL ÖD BSc'!F61</f>
        <v>0.1</v>
      </c>
      <c r="G289" s="6" t="str">
        <f aca="false">'BWL BSc u. BWL ÖD BSc'!G61</f>
        <v>keine Klausur (Prüfung ist mit dem Lehrenden abzustimmen)</v>
      </c>
      <c r="H289" s="8" t="str">
        <f aca="false">'BWL BSc u. BWL ÖD BSc'!H61</f>
        <v>kein Klausur</v>
      </c>
      <c r="I289" s="6" t="str">
        <f aca="false">'BWL BSc u. BWL ÖD BSc'!I61</f>
        <v>kein Klausur</v>
      </c>
      <c r="J289" s="8" t="n">
        <f aca="false">'BWL BSc u. BWL ÖD BSc'!J61</f>
        <v>0</v>
      </c>
      <c r="K289" s="9" t="str">
        <f aca="false">'BWL BSc u. BWL ÖD BSc'!K61</f>
        <v>Faik, Jürgen, Herr Dr. (LKfbA) - 4.000 SWS</v>
      </c>
      <c r="L289" s="1" t="n">
        <f aca="false">Optionen!L6</f>
        <v>0</v>
      </c>
      <c r="M289" s="1" t="n">
        <f aca="false">Optionen!M6</f>
        <v>0</v>
      </c>
    </row>
    <row r="290" customFormat="false" ht="14.15" hidden="false" customHeight="false" outlineLevel="0" collapsed="false">
      <c r="A290" s="6" t="str">
        <f aca="false">'BWL BSc u. BWL ÖD BSc'!A80</f>
        <v>20252</v>
      </c>
      <c r="B290" s="6" t="str">
        <f aca="false">'BWL BSc u. BWL ÖD BSc'!B80</f>
        <v>021/D43-2601 (I)</v>
      </c>
      <c r="C290" s="6" t="str">
        <f aca="false">'BWL BSc u. BWL ÖD BSc'!C80</f>
        <v>Business Planning</v>
      </c>
      <c r="D290" s="7" t="n">
        <f aca="false">'BWL BSc u. BWL ÖD BSc'!D80</f>
        <v>3601</v>
      </c>
      <c r="E290" s="6" t="n">
        <f aca="false">'BWL BSc u. BWL ÖD BSc'!E80</f>
        <v>22</v>
      </c>
      <c r="F290" s="6" t="n">
        <f aca="false">'BWL BSc u. BWL ÖD BSc'!F80</f>
        <v>0</v>
      </c>
      <c r="G290" s="6" t="str">
        <f aca="false">'BWL BSc u. BWL ÖD BSc'!G80</f>
        <v>keine Klausur (Prüfung ist mit dem Lehrenden abzustimmen)</v>
      </c>
      <c r="H290" s="8" t="str">
        <f aca="false">'BWL BSc u. BWL ÖD BSc'!H80</f>
        <v>kein Klausur</v>
      </c>
      <c r="I290" s="6" t="str">
        <f aca="false">'BWL BSc u. BWL ÖD BSc'!I80</f>
        <v>kein Klausur</v>
      </c>
      <c r="J290" s="8" t="n">
        <f aca="false">'BWL BSc u. BWL ÖD BSc'!J80</f>
        <v>0</v>
      </c>
      <c r="K290" s="9" t="str">
        <f aca="false">'BWL BSc u. BWL ÖD BSc'!K80</f>
        <v>Flothow, Gerhart, Herr Dr. (LBA) - 3.000 SWS</v>
      </c>
      <c r="L290" s="1" t="n">
        <f aca="false">Optionen!L7</f>
        <v>0</v>
      </c>
      <c r="M290" s="1" t="n">
        <f aca="false">Optionen!M7</f>
        <v>0</v>
      </c>
    </row>
    <row r="291" customFormat="false" ht="14.15" hidden="false" customHeight="false" outlineLevel="0" collapsed="false">
      <c r="A291" s="6" t="str">
        <f aca="false">'BWL BSc u. BWL ÖD BSc'!A81</f>
        <v>20252</v>
      </c>
      <c r="B291" s="6" t="str">
        <f aca="false">'BWL BSc u. BWL ÖD BSc'!B81</f>
        <v>021/D43-2601 (II)</v>
      </c>
      <c r="C291" s="6" t="str">
        <f aca="false">'BWL BSc u. BWL ÖD BSc'!C81</f>
        <v>Business Planning</v>
      </c>
      <c r="D291" s="7" t="n">
        <f aca="false">'BWL BSc u. BWL ÖD BSc'!D81</f>
        <v>0</v>
      </c>
      <c r="E291" s="6" t="n">
        <f aca="false">'BWL BSc u. BWL ÖD BSc'!E81</f>
        <v>35</v>
      </c>
      <c r="F291" s="6" t="n">
        <f aca="false">'BWL BSc u. BWL ÖD BSc'!F81</f>
        <v>0</v>
      </c>
      <c r="G291" s="6" t="str">
        <f aca="false">'BWL BSc u. BWL ÖD BSc'!G81</f>
        <v>keine Klausur (Prüfung ist mit dem Lehrenden abzustimmen)</v>
      </c>
      <c r="H291" s="8" t="str">
        <f aca="false">'BWL BSc u. BWL ÖD BSc'!H81</f>
        <v>kein Klausur</v>
      </c>
      <c r="I291" s="6" t="str">
        <f aca="false">'BWL BSc u. BWL ÖD BSc'!I81</f>
        <v>kein Klausur</v>
      </c>
      <c r="J291" s="8" t="n">
        <f aca="false">'BWL BSc u. BWL ÖD BSc'!J81</f>
        <v>0</v>
      </c>
      <c r="K291" s="9" t="str">
        <f aca="false">'BWL BSc u. BWL ÖD BSc'!K81</f>
        <v>Reiß, Michael, Herr (LBA) - 3.000 SWS</v>
      </c>
      <c r="L291" s="1" t="n">
        <f aca="false">Optionen!L9</f>
        <v>0</v>
      </c>
      <c r="M291" s="1" t="n">
        <f aca="false">Optionen!M9</f>
        <v>0</v>
      </c>
    </row>
    <row r="292" customFormat="false" ht="26.85" hidden="false" customHeight="false" outlineLevel="0" collapsed="false">
      <c r="A292" s="6" t="str">
        <f aca="false">'BWL BSc u. BWL ÖD BSc'!A82</f>
        <v>20252</v>
      </c>
      <c r="B292" s="6" t="str">
        <f aca="false">'BWL BSc u. BWL ÖD BSc'!B82</f>
        <v>021/D43-2651 (III)</v>
      </c>
      <c r="C292" s="6" t="str">
        <f aca="false">'BWL BSc u. BWL ÖD BSc'!C82</f>
        <v>Business Planning</v>
      </c>
      <c r="D292" s="7" t="n">
        <f aca="false">'BWL BSc u. BWL ÖD BSc'!D82</f>
        <v>0</v>
      </c>
      <c r="E292" s="6" t="n">
        <f aca="false">'BWL BSc u. BWL ÖD BSc'!E82</f>
        <v>10</v>
      </c>
      <c r="F292" s="6" t="n">
        <f aca="false">'BWL BSc u. BWL ÖD BSc'!F82</f>
        <v>0</v>
      </c>
      <c r="G292" s="6" t="str">
        <f aca="false">'BWL BSc u. BWL ÖD BSc'!G82</f>
        <v>keine Klausur (Prüfung ist mit dem Lehrenden abzustimmen)</v>
      </c>
      <c r="H292" s="8" t="str">
        <f aca="false">'BWL BSc u. BWL ÖD BSc'!H82</f>
        <v>kein Klausur</v>
      </c>
      <c r="I292" s="6" t="str">
        <f aca="false">'BWL BSc u. BWL ÖD BSc'!I82</f>
        <v>kein Klausur</v>
      </c>
      <c r="J292" s="8" t="n">
        <f aca="false">'BWL BSc u. BWL ÖD BSc'!J82</f>
        <v>0</v>
      </c>
      <c r="K292" s="9" t="str">
        <f aca="false">'BWL BSc u. BWL ÖD BSc'!K82</f>
        <v>Wagner-Thind, Alexandra, Frau (LBA) - 2.500 SWS;Eckes, Tim, Herr (LBA) - 0.500 SWS</v>
      </c>
      <c r="L292" s="1" t="n">
        <f aca="false">Optionen!L10</f>
        <v>0</v>
      </c>
      <c r="M292" s="1" t="n">
        <f aca="false">Optionen!M10</f>
        <v>0</v>
      </c>
    </row>
    <row r="293" customFormat="false" ht="26.85" hidden="false" customHeight="false" outlineLevel="0" collapsed="false">
      <c r="A293" s="6" t="str">
        <f aca="false">'IB BSc'!A6</f>
        <v>20252</v>
      </c>
      <c r="B293" s="6" t="str">
        <f aca="false">'IB BSc'!B6</f>
        <v>964B-105</v>
      </c>
      <c r="C293" s="6" t="str">
        <f aca="false">'IB BSc'!C6</f>
        <v>Introduction to Scientific Writing &amp; Presentation</v>
      </c>
      <c r="D293" s="6" t="n">
        <f aca="false">'IB BSc'!D6</f>
        <v>0</v>
      </c>
      <c r="E293" s="6" t="n">
        <f aca="false">'IB BSc'!E6</f>
        <v>20</v>
      </c>
      <c r="F293" s="6" t="n">
        <f aca="false">'IB BSc'!F6</f>
        <v>0</v>
      </c>
      <c r="G293" s="6" t="str">
        <f aca="false">'IB BSc'!G6</f>
        <v>keine Klausur (Prüfung ist mit dem Lehrenden abzustimmen)</v>
      </c>
      <c r="H293" s="8" t="str">
        <f aca="false">'IB BSc'!H6</f>
        <v>kein Klausur</v>
      </c>
      <c r="I293" s="6" t="str">
        <f aca="false">'IB BSc'!I6</f>
        <v>kein Klausur</v>
      </c>
      <c r="J293" s="8" t="n">
        <f aca="false">'IB BSc'!J6</f>
        <v>0</v>
      </c>
      <c r="K293" s="9" t="str">
        <f aca="false">'IB BSc'!K6</f>
        <v>Mehler-Bicher, Anett, Frau Prof. Dr. (Prof) - 2.750 SWS;Schneider, Julia, Frau (LBA) - 1.250 SWS</v>
      </c>
      <c r="L293" s="1" t="n">
        <f aca="false">Optionen!L11</f>
        <v>0</v>
      </c>
      <c r="M293" s="1" t="n">
        <f aca="false">Optionen!M11</f>
        <v>0</v>
      </c>
    </row>
    <row r="294" customFormat="false" ht="14.15" hidden="false" customHeight="false" outlineLevel="0" collapsed="false">
      <c r="A294" s="6" t="str">
        <f aca="false">'CSM BSc'!A2</f>
        <v>20252</v>
      </c>
      <c r="B294" s="6" t="str">
        <f aca="false">'CSM BSc'!B2</f>
        <v>F25B-101</v>
      </c>
      <c r="C294" s="6" t="str">
        <f aca="false">'CSM BSc'!C2</f>
        <v>Grundlagen der Programmierung</v>
      </c>
      <c r="D294" s="6" t="n">
        <f aca="false">'CSM BSc'!D2</f>
        <v>0</v>
      </c>
      <c r="E294" s="6" t="n">
        <f aca="false">'CSM BSc'!E2</f>
        <v>26</v>
      </c>
      <c r="F294" s="6" t="n">
        <f aca="false">'CSM BSc'!F2</f>
        <v>0</v>
      </c>
      <c r="G294" s="6" t="str">
        <f aca="false">'CSM BSc'!G2</f>
        <v>keine Klausur (Prüfung ist mit dem Lehrenden abzustimmen)</v>
      </c>
      <c r="H294" s="8" t="str">
        <f aca="false">'CSM BSc'!H2</f>
        <v>kein Klausur</v>
      </c>
      <c r="I294" s="6" t="str">
        <f aca="false">'CSM BSc'!I2</f>
        <v>kein Klausur</v>
      </c>
      <c r="J294" s="8" t="n">
        <f aca="false">'CSM BSc'!J2</f>
        <v>0</v>
      </c>
      <c r="K294" s="9" t="str">
        <f aca="false">'CSM BSc'!K2</f>
        <v>Nauroth, Markus, Herr Prof. Dr. (Prof) - 4.000 SWS</v>
      </c>
      <c r="L294" s="1" t="n">
        <f aca="false">Optionen!L12</f>
        <v>0</v>
      </c>
      <c r="M294" s="1" t="n">
        <f aca="false">Optionen!M12</f>
        <v>0</v>
      </c>
    </row>
    <row r="295" customFormat="false" ht="26.85" hidden="false" customHeight="false" outlineLevel="0" collapsed="false">
      <c r="A295" s="6" t="str">
        <f aca="false">'CSM BSc'!A6</f>
        <v>20252</v>
      </c>
      <c r="B295" s="6" t="str">
        <f aca="false">'CSM BSc'!B6</f>
        <v>F25B-105</v>
      </c>
      <c r="C295" s="6" t="str">
        <f aca="false">'CSM BSc'!C6</f>
        <v>Methodik, Systematik &amp; Präsentation</v>
      </c>
      <c r="D295" s="6" t="n">
        <f aca="false">'CSM BSc'!D6</f>
        <v>0</v>
      </c>
      <c r="E295" s="6" t="n">
        <f aca="false">'CSM BSc'!E6</f>
        <v>25</v>
      </c>
      <c r="F295" s="6" t="n">
        <f aca="false">'CSM BSc'!F6</f>
        <v>0</v>
      </c>
      <c r="G295" s="6" t="str">
        <f aca="false">'CSM BSc'!G6</f>
        <v>keine Klausur (Prüfung ist mit dem Lehrenden abzustimmen)</v>
      </c>
      <c r="H295" s="8" t="str">
        <f aca="false">'CSM BSc'!H6</f>
        <v>kein Klausur</v>
      </c>
      <c r="I295" s="6" t="str">
        <f aca="false">'CSM BSc'!I6</f>
        <v>kein Klausur</v>
      </c>
      <c r="J295" s="8" t="n">
        <f aca="false">'CSM BSc'!J6</f>
        <v>0</v>
      </c>
      <c r="K295" s="9" t="str">
        <f aca="false">'CSM BSc'!K6</f>
        <v>Mehler-Bicher, Anett, Frau Prof. Dr. (Prof) - 2.750 SWS;Schneider, Julia, Frau (LBA) - 1.250 SWS</v>
      </c>
      <c r="L295" s="1" t="n">
        <f aca="false">Optionen!L13</f>
        <v>0</v>
      </c>
      <c r="M295" s="1" t="n">
        <f aca="false">Optionen!M13</f>
        <v>0</v>
      </c>
    </row>
    <row r="296" customFormat="false" ht="26.85" hidden="false" customHeight="false" outlineLevel="0" collapsed="false">
      <c r="A296" s="6" t="str">
        <f aca="false">'WPFS Bachelor'!A4</f>
        <v>w</v>
      </c>
      <c r="B296" s="6" t="str">
        <f aca="false">'WPFS Bachelor'!B4</f>
        <v>000-369</v>
      </c>
      <c r="C296" s="6" t="str">
        <f aca="false">'WPFS Bachelor'!C4</f>
        <v>Impulse für zukünftige Führungskräfte</v>
      </c>
      <c r="D296" s="7" t="n">
        <f aca="false">'WPFS Bachelor'!D4</f>
        <v>0</v>
      </c>
      <c r="E296" s="6" t="n">
        <f aca="false">'WPFS Bachelor'!E4</f>
        <v>0</v>
      </c>
      <c r="F296" s="6" t="n">
        <f aca="false">'WPFS Bachelor'!F4</f>
        <v>0</v>
      </c>
      <c r="G296" s="6" t="str">
        <f aca="false">'WPFS Bachelor'!G4</f>
        <v>keine Klausur (Prüfung ist mit dem Lehrenden abzustimmen)</v>
      </c>
      <c r="H296" s="8" t="str">
        <f aca="false">'WPFS Bachelor'!H4</f>
        <v>kein Klausur</v>
      </c>
      <c r="I296" s="6" t="str">
        <f aca="false">'WPFS Bachelor'!I4</f>
        <v>kein Klausur</v>
      </c>
      <c r="J296" s="6" t="n">
        <f aca="false">'WPFS Bachelor'!J4</f>
        <v>0</v>
      </c>
      <c r="K296" s="9" t="str">
        <f aca="false">'WPFS Bachelor'!K4</f>
        <v>Mehler-Bicher, Anett, Frau Prof. Dr. (Prof) - 1.000 SWS;Schneider, Julia, Frau (LBA) - 3.000 SWS</v>
      </c>
      <c r="L296" s="1" t="n">
        <f aca="false">Optionen!L14</f>
        <v>0</v>
      </c>
      <c r="M296" s="1" t="n">
        <f aca="false">Optionen!M14</f>
        <v>0</v>
      </c>
    </row>
    <row r="297" customFormat="false" ht="26.85" hidden="false" customHeight="false" outlineLevel="0" collapsed="false">
      <c r="A297" s="6" t="str">
        <f aca="false">'WPFS Bachelor'!A5</f>
        <v>w</v>
      </c>
      <c r="B297" s="6" t="str">
        <f aca="false">'WPFS Bachelor'!B5</f>
        <v>000-113</v>
      </c>
      <c r="C297" s="6" t="str">
        <f aca="false">'WPFS Bachelor'!C5</f>
        <v>Business &amp; Kultur in Afrika - Exkursion</v>
      </c>
      <c r="D297" s="7" t="n">
        <f aca="false">'WPFS Bachelor'!D5</f>
        <v>0</v>
      </c>
      <c r="E297" s="6" t="n">
        <f aca="false">'WPFS Bachelor'!E5</f>
        <v>0</v>
      </c>
      <c r="F297" s="6" t="n">
        <f aca="false">'WPFS Bachelor'!F5</f>
        <v>0</v>
      </c>
      <c r="G297" s="6" t="str">
        <f aca="false">'WPFS Bachelor'!G5</f>
        <v>keine Klausur (Prüfung ist mit dem Lehrenden abzustimmen)</v>
      </c>
      <c r="H297" s="8" t="str">
        <f aca="false">'WPFS Bachelor'!H5</f>
        <v>kein Klausur</v>
      </c>
      <c r="I297" s="6" t="str">
        <f aca="false">'WPFS Bachelor'!I5</f>
        <v>kein Klausur</v>
      </c>
      <c r="J297" s="6" t="n">
        <f aca="false">'WPFS Bachelor'!J5</f>
        <v>0</v>
      </c>
      <c r="K297" s="9" t="str">
        <f aca="false">'WPFS Bachelor'!K5</f>
        <v>Lorenz, Karsten, Herr Prof. Dr. (Prof) - 1.000 SWS;Hensel, Claudia, Frau Prof. Dr. (Prof) - 1.000 SWS</v>
      </c>
      <c r="L297" s="1" t="n">
        <f aca="false">Optionen!L15</f>
        <v>0</v>
      </c>
      <c r="M297" s="1" t="n">
        <f aca="false">Optionen!M15</f>
        <v>0</v>
      </c>
    </row>
    <row r="298" customFormat="false" ht="26.85" hidden="false" customHeight="false" outlineLevel="0" collapsed="false">
      <c r="A298" s="6" t="str">
        <f aca="false">'WPFS Bachelor'!A24</f>
        <v>20252</v>
      </c>
      <c r="B298" s="6" t="str">
        <f aca="false">'WPFS Bachelor'!B24</f>
        <v>001-901405</v>
      </c>
      <c r="C298" s="6" t="str">
        <f aca="false">'WPFS Bachelor'!C24</f>
        <v>Spanisch C1</v>
      </c>
      <c r="D298" s="7" t="str">
        <f aca="false">'WPFS Bachelor'!D24</f>
        <v>B09-60382</v>
      </c>
      <c r="E298" s="6" t="n">
        <f aca="false">'WPFS Bachelor'!E24</f>
        <v>5</v>
      </c>
      <c r="F298" s="6" t="n">
        <f aca="false">'WPFS Bachelor'!F24</f>
        <v>0</v>
      </c>
      <c r="G298" s="6" t="str">
        <f aca="false">'WPFS Bachelor'!G24</f>
        <v>keine Klausur (Prüfung ist mit dem Lehrenden abzustimmen)</v>
      </c>
      <c r="H298" s="8" t="str">
        <f aca="false">'WPFS Bachelor'!H24</f>
        <v>kein Klausur</v>
      </c>
      <c r="I298" s="6" t="str">
        <f aca="false">'WPFS Bachelor'!I24</f>
        <v>kein Klausur</v>
      </c>
      <c r="J298" s="6" t="n">
        <f aca="false">'WPFS Bachelor'!J24</f>
        <v>0</v>
      </c>
      <c r="K298" s="9" t="str">
        <f aca="false">'WPFS Bachelor'!K24</f>
        <v>Rete, Oscar Miguel, Herr (LBA - 2.000 SWS;Garcia Fernandez, Analia Gabriela, Frau (LKfbA) - 2.000 SWS</v>
      </c>
      <c r="L298" s="1" t="n">
        <f aca="false">Optionen!L16</f>
        <v>0</v>
      </c>
      <c r="M298" s="1" t="n">
        <f aca="false">Optionen!M16</f>
        <v>0</v>
      </c>
    </row>
    <row r="299" customFormat="false" ht="26.85" hidden="false" customHeight="false" outlineLevel="0" collapsed="false">
      <c r="A299" s="6" t="str">
        <f aca="false">Optionen!A3</f>
        <v>20252</v>
      </c>
      <c r="B299" s="6" t="str">
        <f aca="false">Optionen!B3</f>
        <v>000-10044</v>
      </c>
      <c r="C299" s="6" t="str">
        <f aca="false">Optionen!C3</f>
        <v>Anwendungssysteme im Unternehmen</v>
      </c>
      <c r="D299" s="6" t="n">
        <f aca="false">Optionen!D3</f>
        <v>0</v>
      </c>
      <c r="E299" s="6" t="n">
        <f aca="false">Optionen!E3</f>
        <v>0</v>
      </c>
      <c r="F299" s="6" t="n">
        <f aca="false">Optionen!F3</f>
        <v>0</v>
      </c>
      <c r="G299" s="6" t="str">
        <f aca="false">Optionen!G3</f>
        <v>keine Klausur (Prüfung ist mit dem Lehrenden abzustimmen)</v>
      </c>
      <c r="H299" s="8" t="str">
        <f aca="false">Optionen!H3</f>
        <v>kein Klausur</v>
      </c>
      <c r="I299" s="6" t="str">
        <f aca="false">Optionen!I3</f>
        <v>kein Klausur</v>
      </c>
      <c r="J299" s="6" t="n">
        <f aca="false">Optionen!J3</f>
        <v>0</v>
      </c>
      <c r="K299" s="9" t="str">
        <f aca="false">Optionen!K3</f>
        <v>Weitzel, Dirk, Herr Prof. Dr. (Prof) - 2.000 SWS;Rödder, Nico, Herr Prof. Dr. (Prof) - 2.000 SWS</v>
      </c>
      <c r="L299" s="1" t="n">
        <f aca="false">Optionen!L17</f>
        <v>0</v>
      </c>
      <c r="M299" s="1" t="n">
        <f aca="false">Optionen!M17</f>
        <v>0</v>
      </c>
    </row>
    <row r="300" customFormat="false" ht="14.15" hidden="false" customHeight="false" outlineLevel="0" collapsed="false">
      <c r="A300" s="6" t="str">
        <f aca="false">Optionen!A4</f>
        <v>w</v>
      </c>
      <c r="B300" s="6" t="str">
        <f aca="false">Optionen!B4</f>
        <v>000-10029</v>
      </c>
      <c r="C300" s="6" t="str">
        <f aca="false">Optionen!C4</f>
        <v>Applied Rational Decision Making</v>
      </c>
      <c r="D300" s="6" t="n">
        <f aca="false">Optionen!D4</f>
        <v>0</v>
      </c>
      <c r="E300" s="6" t="n">
        <f aca="false">Optionen!E4</f>
        <v>0</v>
      </c>
      <c r="F300" s="6" t="n">
        <f aca="false">Optionen!F4</f>
        <v>0</v>
      </c>
      <c r="G300" s="6" t="str">
        <f aca="false">Optionen!G4</f>
        <v>keine Klausur (Prüfung ist mit dem Lehrenden abzustimmen)</v>
      </c>
      <c r="H300" s="8" t="str">
        <f aca="false">Optionen!H4</f>
        <v>kein Klausur</v>
      </c>
      <c r="I300" s="6" t="str">
        <f aca="false">Optionen!I4</f>
        <v>kein Klausur</v>
      </c>
      <c r="J300" s="6" t="n">
        <f aca="false">Optionen!J4</f>
        <v>0</v>
      </c>
      <c r="K300" s="9" t="str">
        <f aca="false">Optionen!K4</f>
        <v>Freudenberger, Axel, Herr Prof. Dr. (Prof) - 4.000 SWS</v>
      </c>
      <c r="L300" s="1" t="n">
        <f aca="false">Optionen!L18</f>
        <v>0</v>
      </c>
      <c r="M300" s="1" t="n">
        <f aca="false">Optionen!M18</f>
        <v>0</v>
      </c>
    </row>
    <row r="301" customFormat="false" ht="26.85" hidden="false" customHeight="false" outlineLevel="0" collapsed="false">
      <c r="A301" s="6" t="str">
        <f aca="false">Optionen!A5</f>
        <v>w</v>
      </c>
      <c r="B301" s="6" t="str">
        <f aca="false">Optionen!B5</f>
        <v>000-10042</v>
      </c>
      <c r="C301" s="6" t="str">
        <f aca="false">Optionen!C5</f>
        <v>Aktuelle Fragen der Wirtschaftspolitik</v>
      </c>
      <c r="D301" s="6" t="n">
        <f aca="false">Optionen!D5</f>
        <v>0</v>
      </c>
      <c r="E301" s="6" t="n">
        <f aca="false">Optionen!E5</f>
        <v>0</v>
      </c>
      <c r="F301" s="6" t="n">
        <f aca="false">Optionen!F5</f>
        <v>0</v>
      </c>
      <c r="G301" s="6" t="str">
        <f aca="false">Optionen!G5</f>
        <v>keine Klausur (Prüfung ist mit dem Lehrenden abzustimmen)</v>
      </c>
      <c r="H301" s="8" t="str">
        <f aca="false">Optionen!H5</f>
        <v>kein Klausur</v>
      </c>
      <c r="I301" s="6" t="str">
        <f aca="false">Optionen!I5</f>
        <v>kein Klausur</v>
      </c>
      <c r="J301" s="6" t="n">
        <f aca="false">Optionen!J5</f>
        <v>0</v>
      </c>
      <c r="K301" s="9" t="str">
        <f aca="false">Optionen!K5</f>
        <v>Bartels, Bernhard, Herr Prof. Dr. (Prof) - 2.000 SWS;Gadatsch, Niklas, Herr Prof. Dr. (Prof) - 2.000 SWS</v>
      </c>
      <c r="L301" s="1" t="n">
        <f aca="false">Optionen!L19</f>
        <v>0</v>
      </c>
      <c r="M301" s="1" t="n">
        <f aca="false">Optionen!M19</f>
        <v>0</v>
      </c>
    </row>
    <row r="302" customFormat="false" ht="13.8" hidden="false" customHeight="false" outlineLevel="0" collapsed="false">
      <c r="A302" s="6" t="str">
        <f aca="false">Optionen!A6</f>
        <v>w</v>
      </c>
      <c r="B302" s="6" t="str">
        <f aca="false">Optionen!B6</f>
        <v>000-10034</v>
      </c>
      <c r="C302" s="6" t="str">
        <f aca="false">Optionen!C6</f>
        <v>Angewandte Robotik</v>
      </c>
      <c r="D302" s="6" t="n">
        <f aca="false">Optionen!D6</f>
        <v>0</v>
      </c>
      <c r="E302" s="6" t="n">
        <f aca="false">Optionen!E6</f>
        <v>0</v>
      </c>
      <c r="F302" s="6" t="n">
        <f aca="false">Optionen!F6</f>
        <v>0</v>
      </c>
      <c r="G302" s="6" t="str">
        <f aca="false">Optionen!G6</f>
        <v>keine Klausur (Prüfung ist mit dem Lehrenden abzustimmen)</v>
      </c>
      <c r="H302" s="8" t="str">
        <f aca="false">Optionen!H6</f>
        <v>kein Klausur</v>
      </c>
      <c r="I302" s="6" t="str">
        <f aca="false">Optionen!I6</f>
        <v>kein Klausur</v>
      </c>
      <c r="J302" s="6" t="n">
        <f aca="false">Optionen!J6</f>
        <v>0</v>
      </c>
      <c r="K302" s="9" t="str">
        <f aca="false">Optionen!K6</f>
        <v>Schweim, Dirk, Herr Prof. Dr. (Prof) - 4.000 SWS</v>
      </c>
      <c r="L302" s="1" t="n">
        <f aca="false">Optionen!L20</f>
        <v>0</v>
      </c>
      <c r="M302" s="1" t="n">
        <f aca="false">Optionen!M20</f>
        <v>0</v>
      </c>
    </row>
    <row r="303" customFormat="false" ht="26.85" hidden="false" customHeight="false" outlineLevel="0" collapsed="false">
      <c r="A303" s="6" t="str">
        <f aca="false">Optionen!A8</f>
        <v>w</v>
      </c>
      <c r="B303" s="6" t="str">
        <f aca="false">Optionen!B8</f>
        <v>000-11065</v>
      </c>
      <c r="C303" s="6" t="str">
        <f aca="false">Optionen!C8</f>
        <v>Beschaffung und Einkauf</v>
      </c>
      <c r="D303" s="6" t="n">
        <f aca="false">Optionen!D8</f>
        <v>0</v>
      </c>
      <c r="E303" s="6" t="n">
        <f aca="false">Optionen!E8</f>
        <v>0</v>
      </c>
      <c r="F303" s="6" t="n">
        <f aca="false">Optionen!F8</f>
        <v>0</v>
      </c>
      <c r="G303" s="6" t="str">
        <f aca="false">Optionen!G8</f>
        <v>keine Klausur (Prüfung ist mit dem Lehrenden abzustimmen)</v>
      </c>
      <c r="H303" s="6" t="str">
        <f aca="false">Optionen!H8</f>
        <v>kein Klausur</v>
      </c>
      <c r="I303" s="6" t="str">
        <f aca="false">Optionen!I8</f>
        <v>kein Klausur</v>
      </c>
      <c r="J303" s="6" t="n">
        <f aca="false">Optionen!J8</f>
        <v>0</v>
      </c>
      <c r="K303" s="9" t="str">
        <f aca="false">Optionen!K8</f>
        <v>Wollny, Volrad, Herr Prof. Dr. (Prof) - 2.000 SWS;Kwiatkowski, Sascha, Herr (LBA) - 2.000 SWS</v>
      </c>
      <c r="L303" s="1" t="n">
        <f aca="false">Optionen!L21</f>
        <v>0</v>
      </c>
      <c r="M303" s="1" t="n">
        <f aca="false">Optionen!M21</f>
        <v>0</v>
      </c>
    </row>
    <row r="304" customFormat="false" ht="14.15" hidden="false" customHeight="false" outlineLevel="0" collapsed="false">
      <c r="A304" s="6" t="str">
        <f aca="false">Optionen!A10</f>
        <v>20252</v>
      </c>
      <c r="B304" s="6" t="str">
        <f aca="false">Optionen!B10</f>
        <v>000-11046</v>
      </c>
      <c r="C304" s="9" t="str">
        <f aca="false">Optionen!C10</f>
        <v>Business Creativity</v>
      </c>
      <c r="D304" s="6" t="n">
        <f aca="false">Optionen!D10</f>
        <v>0</v>
      </c>
      <c r="E304" s="6" t="n">
        <f aca="false">Optionen!E10</f>
        <v>0</v>
      </c>
      <c r="F304" s="6" t="n">
        <f aca="false">Optionen!F10</f>
        <v>0</v>
      </c>
      <c r="G304" s="6" t="str">
        <f aca="false">Optionen!G10</f>
        <v>keine Klausur (Prüfung ist mit dem Lehrenden abzustimmen)</v>
      </c>
      <c r="H304" s="8" t="str">
        <f aca="false">Optionen!H10</f>
        <v>kein Klausur (19.10.2025)</v>
      </c>
      <c r="I304" s="6" t="str">
        <f aca="false">Optionen!I10</f>
        <v>kein Klausur</v>
      </c>
      <c r="J304" s="6" t="n">
        <f aca="false">Optionen!J10</f>
        <v>0</v>
      </c>
      <c r="K304" s="9" t="str">
        <f aca="false">Optionen!K10</f>
        <v>Eickhoff, Matthias, Herr Prof. Dr. (Prof) - 4.000 SWS</v>
      </c>
      <c r="L304" s="1" t="n">
        <f aca="false">Optionen!L22</f>
        <v>0</v>
      </c>
      <c r="M304" s="1" t="n">
        <f aca="false">Optionen!M22</f>
        <v>0</v>
      </c>
    </row>
    <row r="305" customFormat="false" ht="14.15" hidden="false" customHeight="false" outlineLevel="0" collapsed="false">
      <c r="A305" s="6" t="str">
        <f aca="false">'WPFS Bachelor'!A6</f>
        <v>w</v>
      </c>
      <c r="B305" s="6" t="str">
        <f aca="false">'WPFS Bachelor'!B6</f>
        <v>000-20071</v>
      </c>
      <c r="C305" s="6" t="str">
        <f aca="false">'WPFS Bachelor'!C6</f>
        <v>Mentoring</v>
      </c>
      <c r="D305" s="7" t="n">
        <f aca="false">'WPFS Bachelor'!D6</f>
        <v>0</v>
      </c>
      <c r="E305" s="6" t="n">
        <f aca="false">'WPFS Bachelor'!E6</f>
        <v>0</v>
      </c>
      <c r="F305" s="6" t="n">
        <f aca="false">'WPFS Bachelor'!F6</f>
        <v>0</v>
      </c>
      <c r="G305" s="6" t="str">
        <f aca="false">'WPFS Bachelor'!G6</f>
        <v>keine Klausur (Prüfung ist mit dem Lehrenden abzustimmen)</v>
      </c>
      <c r="H305" s="8" t="str">
        <f aca="false">'WPFS Bachelor'!H6</f>
        <v>kein Klausur (Deadline Hausarbeit 15.02.2026)</v>
      </c>
      <c r="I305" s="6" t="str">
        <f aca="false">'WPFS Bachelor'!I6</f>
        <v>kein Klausur</v>
      </c>
      <c r="J305" s="6" t="n">
        <f aca="false">'WPFS Bachelor'!J6</f>
        <v>0</v>
      </c>
      <c r="K305" s="9" t="str">
        <f aca="false">'WPFS Bachelor'!K6</f>
        <v>Dahm, Katharina Prof. Dr.</v>
      </c>
      <c r="L305" s="1" t="n">
        <f aca="false">Optionen!L23</f>
        <v>0</v>
      </c>
      <c r="M305" s="1" t="n">
        <f aca="false">Optionen!M23</f>
        <v>0</v>
      </c>
    </row>
    <row r="306" customFormat="false" ht="14.15" hidden="false" customHeight="false" outlineLevel="0" collapsed="false">
      <c r="A306" s="6" t="str">
        <f aca="false">'WPFS Bachelor'!A7</f>
        <v>20252</v>
      </c>
      <c r="B306" s="6" t="str">
        <f aca="false">'WPFS Bachelor'!B7</f>
        <v>000-516</v>
      </c>
      <c r="C306" s="6" t="str">
        <f aca="false">'WPFS Bachelor'!C7</f>
        <v>Management in Action</v>
      </c>
      <c r="D306" s="7" t="n">
        <f aca="false">'WPFS Bachelor'!D7</f>
        <v>0</v>
      </c>
      <c r="E306" s="6" t="n">
        <f aca="false">'WPFS Bachelor'!E7</f>
        <v>0</v>
      </c>
      <c r="F306" s="6" t="n">
        <f aca="false">'WPFS Bachelor'!F7</f>
        <v>0</v>
      </c>
      <c r="G306" s="6" t="str">
        <f aca="false">'WPFS Bachelor'!G7</f>
        <v>keine Klausur (Prüfung ist mit dem Lehrenden abzustimmen)</v>
      </c>
      <c r="H306" s="8" t="str">
        <f aca="false">'WPFS Bachelor'!H7</f>
        <v>kein Klausur (final 12.01.2026)</v>
      </c>
      <c r="I306" s="6" t="str">
        <f aca="false">'WPFS Bachelor'!I7</f>
        <v>kein Klausur</v>
      </c>
      <c r="J306" s="6" t="n">
        <f aca="false">'WPFS Bachelor'!J7</f>
        <v>0</v>
      </c>
      <c r="K306" s="9" t="str">
        <f aca="false">'WPFS Bachelor'!K7</f>
        <v>Stielow, Christian, Herr (LKfbA) - 4.000 SWS</v>
      </c>
      <c r="L306" s="1" t="n">
        <f aca="false">Optionen!L24</f>
        <v>0</v>
      </c>
      <c r="M306" s="1" t="n">
        <f aca="false">Optionen!M24</f>
        <v>0</v>
      </c>
    </row>
    <row r="307" customFormat="false" ht="14.15" hidden="false" customHeight="false" outlineLevel="0" collapsed="false">
      <c r="A307" s="6" t="str">
        <f aca="false">'BWL BSc u. BWL ÖD BSc'!A60</f>
        <v>20252</v>
      </c>
      <c r="B307" s="6" t="str">
        <f aca="false">'BWL BSc u. BWL ÖD BSc'!B60</f>
        <v>021-3380 (B)</v>
      </c>
      <c r="C307" s="6" t="str">
        <f aca="false">'BWL BSc u. BWL ÖD BSc'!C60</f>
        <v>Statistisches Forschungsprojekt</v>
      </c>
      <c r="D307" s="6" t="n">
        <f aca="false">'BWL BSc u. BWL ÖD BSc'!D60</f>
        <v>0</v>
      </c>
      <c r="E307" s="6" t="n">
        <f aca="false">'BWL BSc u. BWL ÖD BSc'!E60</f>
        <v>49</v>
      </c>
      <c r="F307" s="6" t="n">
        <f aca="false">'BWL BSc u. BWL ÖD BSc'!F60</f>
        <v>0</v>
      </c>
      <c r="G307" s="6" t="str">
        <f aca="false">'BWL BSc u. BWL ÖD BSc'!G60</f>
        <v>keine Klausur (Prüfung ist mit dem Lehrenden abzustimmen)</v>
      </c>
      <c r="H307" s="8" t="str">
        <f aca="false">'BWL BSc u. BWL ÖD BSc'!H60</f>
        <v>kein Klausur (final 14.01.2026)</v>
      </c>
      <c r="I307" s="6" t="str">
        <f aca="false">'BWL BSc u. BWL ÖD BSc'!I60</f>
        <v>kein Klausur</v>
      </c>
      <c r="J307" s="8" t="n">
        <f aca="false">'BWL BSc u. BWL ÖD BSc'!J60</f>
        <v>0</v>
      </c>
      <c r="K307" s="9" t="str">
        <f aca="false">'BWL BSc u. BWL ÖD BSc'!K60</f>
        <v>Schlütter, Sebastian, Herr Prof. Dr. (Prof) - 4.000 SWS</v>
      </c>
      <c r="L307" s="1" t="n">
        <f aca="false">Optionen!L25</f>
        <v>0</v>
      </c>
      <c r="M307" s="1" t="n">
        <f aca="false">Optionen!M25</f>
        <v>0</v>
      </c>
    </row>
    <row r="308" customFormat="false" ht="14.15" hidden="false" customHeight="false" outlineLevel="0" collapsed="false">
      <c r="A308" s="6" t="str">
        <f aca="false">'BWL BSc u. BWL ÖD BSc'!A59</f>
        <v>20252</v>
      </c>
      <c r="B308" s="6" t="str">
        <f aca="false">'BWL BSc u. BWL ÖD BSc'!B59</f>
        <v>021/D43-3380 (A)</v>
      </c>
      <c r="C308" s="6" t="str">
        <f aca="false">'BWL BSc u. BWL ÖD BSc'!C59</f>
        <v>Statistisches Forschungsprojekt</v>
      </c>
      <c r="D308" s="6" t="n">
        <f aca="false">'BWL BSc u. BWL ÖD BSc'!D59</f>
        <v>2380</v>
      </c>
      <c r="E308" s="6" t="n">
        <f aca="false">'BWL BSc u. BWL ÖD BSc'!E59</f>
        <v>23</v>
      </c>
      <c r="F308" s="6" t="n">
        <f aca="false">'BWL BSc u. BWL ÖD BSc'!F59</f>
        <v>0</v>
      </c>
      <c r="G308" s="6" t="str">
        <f aca="false">'BWL BSc u. BWL ÖD BSc'!G59</f>
        <v>keine Klausur (Prüfung ist mit dem Lehrenden abzustimmen)</v>
      </c>
      <c r="H308" s="8" t="str">
        <f aca="false">'BWL BSc u. BWL ÖD BSc'!H59</f>
        <v>kein Klausur (final 16.01.2026)</v>
      </c>
      <c r="I308" s="6" t="str">
        <f aca="false">'BWL BSc u. BWL ÖD BSc'!I59</f>
        <v>kein Klausur</v>
      </c>
      <c r="J308" s="8" t="n">
        <f aca="false">'BWL BSc u. BWL ÖD BSc'!J59</f>
        <v>0</v>
      </c>
      <c r="K308" s="9" t="str">
        <f aca="false">'BWL BSc u. BWL ÖD BSc'!K59</f>
        <v>Schlütter, Sebastian, Herr Prof. Dr. (Prof) - 4.000 SWS</v>
      </c>
      <c r="L308" s="1" t="n">
        <f aca="false">Optionen!L27</f>
        <v>0</v>
      </c>
      <c r="M308" s="1" t="n">
        <f aca="false">Optionen!M27</f>
        <v>0</v>
      </c>
    </row>
    <row r="309" customFormat="false" ht="14.15" hidden="false" customHeight="false" outlineLevel="0" collapsed="false">
      <c r="A309" s="6" t="str">
        <f aca="false">'AI VZ u. AIOED BSc dual'!A2</f>
        <v>20252</v>
      </c>
      <c r="B309" s="6" t="str">
        <f aca="false">'AI VZ u. AIOED BSc dual'!B2</f>
        <v>938/D04-2101 (A)</v>
      </c>
      <c r="C309" s="6" t="str">
        <f aca="false">'AI VZ u. AIOED BSc dual'!C2</f>
        <v>Programmieren I</v>
      </c>
      <c r="D309" s="7" t="n">
        <f aca="false">'AI VZ u. AIOED BSc dual'!D2</f>
        <v>1101</v>
      </c>
      <c r="E309" s="6" t="n">
        <f aca="false">'AI VZ u. AIOED BSc dual'!E2</f>
        <v>0</v>
      </c>
      <c r="F309" s="6" t="n">
        <f aca="false">'AI VZ u. AIOED BSc dual'!F2</f>
        <v>0</v>
      </c>
      <c r="G309" s="6" t="str">
        <f aca="false">'AI VZ u. AIOED BSc dual'!G2</f>
        <v>keine Klausur (Prüfung ist mit dem Lehrenden abzustimmen)</v>
      </c>
      <c r="H309" s="8" t="str">
        <f aca="false">'AI VZ u. AIOED BSc dual'!H2</f>
        <v>keine Klausur</v>
      </c>
      <c r="I309" s="6" t="str">
        <f aca="false">'AI VZ u. AIOED BSc dual'!I2</f>
        <v>keine Klausur</v>
      </c>
      <c r="J309" s="44" t="n">
        <f aca="false">'AI VZ u. AIOED BSc dual'!J2</f>
        <v>0</v>
      </c>
      <c r="K309" s="9" t="str">
        <f aca="false">'AI VZ u. AIOED BSc dual'!K2</f>
        <v>Rostek, Annika, Frau (LBA) - 4.000 SWS</v>
      </c>
      <c r="L309" s="1" t="n">
        <f aca="false">Optionen!L28</f>
        <v>0</v>
      </c>
      <c r="M309" s="1" t="n">
        <f aca="false">Optionen!M28</f>
        <v>0</v>
      </c>
    </row>
    <row r="310" customFormat="false" ht="14.15" hidden="false" customHeight="false" outlineLevel="0" collapsed="false">
      <c r="A310" s="6" t="str">
        <f aca="false">'AI VZ u. AIOED BSc dual'!A3</f>
        <v>20252</v>
      </c>
      <c r="B310" s="6" t="str">
        <f aca="false">'AI VZ u. AIOED BSc dual'!B3</f>
        <v>938/D04-2101 (B)</v>
      </c>
      <c r="C310" s="6" t="str">
        <f aca="false">'AI VZ u. AIOED BSc dual'!C3</f>
        <v>Programmieren I</v>
      </c>
      <c r="D310" s="6" t="n">
        <f aca="false">'AI VZ u. AIOED BSc dual'!D3</f>
        <v>0</v>
      </c>
      <c r="E310" s="6" t="n">
        <f aca="false">'AI VZ u. AIOED BSc dual'!E3</f>
        <v>0</v>
      </c>
      <c r="F310" s="6" t="n">
        <f aca="false">'AI VZ u. AIOED BSc dual'!F3</f>
        <v>0</v>
      </c>
      <c r="G310" s="6" t="str">
        <f aca="false">'AI VZ u. AIOED BSc dual'!G3</f>
        <v>keine Klausur (Prüfung ist mit dem Lehrenden abzustimmen)</v>
      </c>
      <c r="H310" s="8" t="str">
        <f aca="false">'AI VZ u. AIOED BSc dual'!H3</f>
        <v>keine Klausur</v>
      </c>
      <c r="I310" s="6" t="str">
        <f aca="false">'AI VZ u. AIOED BSc dual'!I3</f>
        <v>keine Klausur</v>
      </c>
      <c r="J310" s="44" t="n">
        <f aca="false">'AI VZ u. AIOED BSc dual'!J3</f>
        <v>0</v>
      </c>
      <c r="K310" s="9" t="str">
        <f aca="false">'AI VZ u. AIOED BSc dual'!K3</f>
        <v>Nauroth, Markus, Herr Prof. Dr. (Prof) - 4.000 SWS</v>
      </c>
      <c r="L310" s="1" t="n">
        <f aca="false">Optionen!L29</f>
        <v>0</v>
      </c>
      <c r="M310" s="1" t="n">
        <f aca="false">Optionen!M29</f>
        <v>0</v>
      </c>
    </row>
    <row r="311" customFormat="false" ht="14.15" hidden="false" customHeight="false" outlineLevel="0" collapsed="false">
      <c r="A311" s="6" t="str">
        <f aca="false">'WR LLB'!A57</f>
        <v>20252</v>
      </c>
      <c r="B311" s="6" t="str">
        <f aca="false">'WR LLB'!B57</f>
        <v>932-2513 (A)</v>
      </c>
      <c r="C311" s="9" t="str">
        <f aca="false">'WR LLB'!C57</f>
        <v>Blockseminar Rewi II - Arbeitsrecht</v>
      </c>
      <c r="D311" s="6" t="n">
        <f aca="false">'WR LLB'!D57</f>
        <v>0</v>
      </c>
      <c r="E311" s="6" t="n">
        <f aca="false">'WR LLB'!E57</f>
        <v>0</v>
      </c>
      <c r="F311" s="6" t="n">
        <f aca="false">'WR LLB'!F57</f>
        <v>0</v>
      </c>
      <c r="G311" s="6" t="str">
        <f aca="false">'WR LLB'!G57</f>
        <v>keine Klausur (Prüfung ist mit dem Lehrenden abzustimmen)</v>
      </c>
      <c r="H311" s="8" t="str">
        <f aca="false">'WR LLB'!H57</f>
        <v>keine Klausur</v>
      </c>
      <c r="I311" s="6" t="str">
        <f aca="false">'WR LLB'!I57</f>
        <v>keine Klausur</v>
      </c>
      <c r="J311" s="8" t="n">
        <f aca="false">'WR LLB'!J57</f>
        <v>0</v>
      </c>
      <c r="K311" s="9" t="str">
        <f aca="false">'WR LLB'!K57</f>
        <v>Dereli, Melanie, Frau (LBA) - 1.000 SWS</v>
      </c>
      <c r="L311" s="1" t="n">
        <f aca="false">Optionen!L30</f>
        <v>0</v>
      </c>
      <c r="M311" s="1" t="n">
        <f aca="false">Optionen!M30</f>
        <v>0</v>
      </c>
    </row>
    <row r="312" customFormat="false" ht="14.15" hidden="false" customHeight="false" outlineLevel="0" collapsed="false">
      <c r="A312" s="6" t="str">
        <f aca="false">'WR LLB'!A58</f>
        <v>20252</v>
      </c>
      <c r="B312" s="6" t="str">
        <f aca="false">'WR LLB'!B58</f>
        <v>932-2513 (B)</v>
      </c>
      <c r="C312" s="9" t="str">
        <f aca="false">'WR LLB'!C58</f>
        <v>Blockseminar Rewi II - Arbeitsrecht</v>
      </c>
      <c r="D312" s="6" t="n">
        <f aca="false">'WR LLB'!D58</f>
        <v>0</v>
      </c>
      <c r="E312" s="6" t="n">
        <f aca="false">'WR LLB'!E58</f>
        <v>0</v>
      </c>
      <c r="F312" s="6" t="n">
        <f aca="false">'WR LLB'!F58</f>
        <v>0</v>
      </c>
      <c r="G312" s="6" t="str">
        <f aca="false">'WR LLB'!G58</f>
        <v>keine Klausur (Prüfung ist mit dem Lehrenden abzustimmen)</v>
      </c>
      <c r="H312" s="8" t="str">
        <f aca="false">'WR LLB'!H58</f>
        <v>keine Klausur</v>
      </c>
      <c r="I312" s="6" t="str">
        <f aca="false">'WR LLB'!I58</f>
        <v>keine Klausur</v>
      </c>
      <c r="J312" s="8" t="n">
        <f aca="false">'WR LLB'!J58</f>
        <v>0</v>
      </c>
      <c r="K312" s="9" t="str">
        <f aca="false">'WR LLB'!K58</f>
        <v>Dereli, Melanie, Frau (LBA) - 1.000 SWS</v>
      </c>
      <c r="L312" s="1" t="n">
        <f aca="false">Optionen!L31</f>
        <v>0</v>
      </c>
      <c r="M312" s="1" t="n">
        <f aca="false">Optionen!M31</f>
        <v>0</v>
      </c>
    </row>
    <row r="313" customFormat="false" ht="14.15" hidden="false" customHeight="false" outlineLevel="0" collapsed="false">
      <c r="A313" s="6" t="str">
        <f aca="false">'WR LLB'!A59</f>
        <v>20252</v>
      </c>
      <c r="B313" s="6" t="str">
        <f aca="false">'WR LLB'!B59</f>
        <v>932-2514 (A)</v>
      </c>
      <c r="C313" s="9" t="str">
        <f aca="false">'WR LLB'!C59</f>
        <v>Blockseminar Rewi II - Compliance und Wirtschaftsstrafrecht</v>
      </c>
      <c r="D313" s="6" t="n">
        <f aca="false">'WR LLB'!D59</f>
        <v>0</v>
      </c>
      <c r="E313" s="6" t="n">
        <f aca="false">'WR LLB'!E59</f>
        <v>0</v>
      </c>
      <c r="F313" s="6" t="n">
        <f aca="false">'WR LLB'!F59</f>
        <v>0</v>
      </c>
      <c r="G313" s="6" t="str">
        <f aca="false">'WR LLB'!G59</f>
        <v>keine Klausur (Prüfung ist mit dem Lehrenden abzustimmen)</v>
      </c>
      <c r="H313" s="8" t="str">
        <f aca="false">'WR LLB'!H59</f>
        <v>keine Klausur</v>
      </c>
      <c r="I313" s="6" t="str">
        <f aca="false">'WR LLB'!I59</f>
        <v>keine Klausur</v>
      </c>
      <c r="J313" s="8" t="n">
        <f aca="false">'WR LLB'!J59</f>
        <v>0</v>
      </c>
      <c r="K313" s="9" t="str">
        <f aca="false">'WR LLB'!K59</f>
        <v>Nerenberg, Colin, Herr (LKfbA) - 1.000 SWS</v>
      </c>
      <c r="L313" s="1" t="n">
        <f aca="false">Optionen!L32</f>
        <v>0</v>
      </c>
      <c r="M313" s="1" t="n">
        <f aca="false">Optionen!M32</f>
        <v>0</v>
      </c>
    </row>
    <row r="314" customFormat="false" ht="14.15" hidden="false" customHeight="false" outlineLevel="0" collapsed="false">
      <c r="A314" s="6" t="str">
        <f aca="false">'WR LLB'!A60</f>
        <v>20252</v>
      </c>
      <c r="B314" s="6" t="str">
        <f aca="false">'WR LLB'!B60</f>
        <v>932-2514 (B)</v>
      </c>
      <c r="C314" s="9" t="str">
        <f aca="false">'WR LLB'!C60</f>
        <v>Blockseminar Rewi II - Compliance und Wirtschaftsstrafrecht</v>
      </c>
      <c r="D314" s="6" t="n">
        <f aca="false">'WR LLB'!D60</f>
        <v>0</v>
      </c>
      <c r="E314" s="6" t="n">
        <f aca="false">'WR LLB'!E60</f>
        <v>0</v>
      </c>
      <c r="F314" s="6" t="n">
        <f aca="false">'WR LLB'!F60</f>
        <v>0</v>
      </c>
      <c r="G314" s="6" t="str">
        <f aca="false">'WR LLB'!G60</f>
        <v>keine Klausur (Prüfung ist mit dem Lehrenden abzustimmen)</v>
      </c>
      <c r="H314" s="8" t="str">
        <f aca="false">'WR LLB'!H60</f>
        <v>keine Klausur</v>
      </c>
      <c r="I314" s="6" t="str">
        <f aca="false">'WR LLB'!I60</f>
        <v>keine Klausur</v>
      </c>
      <c r="J314" s="8" t="n">
        <f aca="false">'WR LLB'!J60</f>
        <v>0</v>
      </c>
      <c r="K314" s="9" t="str">
        <f aca="false">'WR LLB'!K60</f>
        <v>Nerenberg, Colin, Herr (LKfbA) - 1.000 SWS</v>
      </c>
      <c r="L314" s="1" t="n">
        <f aca="false">Optionen!L33</f>
        <v>0</v>
      </c>
      <c r="M314" s="1" t="n">
        <f aca="false">Optionen!M33</f>
        <v>0</v>
      </c>
    </row>
    <row r="315" customFormat="false" ht="14.15" hidden="false" customHeight="false" outlineLevel="0" collapsed="false">
      <c r="A315" s="6" t="str">
        <f aca="false">'WR LLB'!A61</f>
        <v>20252</v>
      </c>
      <c r="B315" s="6" t="str">
        <f aca="false">'WR LLB'!B61</f>
        <v>932-2514 (C)</v>
      </c>
      <c r="C315" s="9" t="str">
        <f aca="false">'WR LLB'!C61</f>
        <v>Blockseminar Rewi II - Compliance und Wirtschaftsstrafrecht</v>
      </c>
      <c r="D315" s="6" t="n">
        <f aca="false">'WR LLB'!D61</f>
        <v>0</v>
      </c>
      <c r="E315" s="6" t="n">
        <f aca="false">'WR LLB'!E61</f>
        <v>0</v>
      </c>
      <c r="F315" s="6" t="n">
        <f aca="false">'WR LLB'!F61</f>
        <v>0</v>
      </c>
      <c r="G315" s="6" t="str">
        <f aca="false">'WR LLB'!G61</f>
        <v>keine Klausur (Prüfung ist mit dem Lehrenden abzustimmen)</v>
      </c>
      <c r="H315" s="8" t="str">
        <f aca="false">'WR LLB'!H61</f>
        <v>keine Klausur</v>
      </c>
      <c r="I315" s="6" t="str">
        <f aca="false">'WR LLB'!I61</f>
        <v>keine Klausur</v>
      </c>
      <c r="J315" s="8" t="n">
        <f aca="false">'WR LLB'!J61</f>
        <v>0</v>
      </c>
      <c r="K315" s="9" t="str">
        <f aca="false">'WR LLB'!K61</f>
        <v>Nerenberg, Colin, Herr (LKfbA) - 1.000 SWS</v>
      </c>
      <c r="L315" s="1" t="n">
        <f aca="false">Optionen!L34</f>
        <v>0</v>
      </c>
      <c r="M315" s="1" t="n">
        <f aca="false">Optionen!M34</f>
        <v>0</v>
      </c>
    </row>
    <row r="316" customFormat="false" ht="14.15" hidden="false" customHeight="false" outlineLevel="0" collapsed="false">
      <c r="A316" s="6" t="str">
        <f aca="false">'WR LLB'!A62</f>
        <v>20252</v>
      </c>
      <c r="B316" s="6" t="str">
        <f aca="false">'WR LLB'!B62</f>
        <v>932-2514 (D)</v>
      </c>
      <c r="C316" s="9" t="str">
        <f aca="false">'WR LLB'!C62</f>
        <v>Blockseminar Rewi II - Compliance und Wirtschaftsstrafrecht</v>
      </c>
      <c r="D316" s="6" t="n">
        <f aca="false">'WR LLB'!D62</f>
        <v>0</v>
      </c>
      <c r="E316" s="6" t="n">
        <f aca="false">'WR LLB'!E62</f>
        <v>0</v>
      </c>
      <c r="F316" s="6" t="n">
        <f aca="false">'WR LLB'!F62</f>
        <v>0</v>
      </c>
      <c r="G316" s="6" t="str">
        <f aca="false">'WR LLB'!G62</f>
        <v>keine Klausur (Prüfung ist mit dem Lehrenden abzustimmen)</v>
      </c>
      <c r="H316" s="8" t="str">
        <f aca="false">'WR LLB'!H62</f>
        <v>keine Klausur</v>
      </c>
      <c r="I316" s="6" t="str">
        <f aca="false">'WR LLB'!I62</f>
        <v>keine Klausur</v>
      </c>
      <c r="J316" s="8" t="n">
        <f aca="false">'WR LLB'!J62</f>
        <v>0</v>
      </c>
      <c r="K316" s="9" t="str">
        <f aca="false">'WR LLB'!K62</f>
        <v>Nerenberg, Colin, Herr (LKfbA) - 1.000 SWS</v>
      </c>
      <c r="L316" s="1" t="n">
        <f aca="false">Optionen!L35</f>
        <v>0</v>
      </c>
      <c r="M316" s="1" t="n">
        <f aca="false">Optionen!M35</f>
        <v>0</v>
      </c>
    </row>
    <row r="317" customFormat="false" ht="14.15" hidden="false" customHeight="false" outlineLevel="0" collapsed="false">
      <c r="A317" s="6" t="str">
        <f aca="false">'WR LLB'!A63</f>
        <v>20252</v>
      </c>
      <c r="B317" s="6" t="str">
        <f aca="false">'WR LLB'!B63</f>
        <v>932-2580 (A + B)</v>
      </c>
      <c r="C317" s="6" t="str">
        <f aca="false">'WR LLB'!C63</f>
        <v>Blockseminar Berufsfeldanalyse I</v>
      </c>
      <c r="D317" s="7" t="str">
        <f aca="false">'WR LLB'!D63</f>
        <v>042B-503-P1</v>
      </c>
      <c r="E317" s="6" t="n">
        <f aca="false">'WR LLB'!E63</f>
        <v>14</v>
      </c>
      <c r="F317" s="6" t="n">
        <f aca="false">'WR LLB'!F63</f>
        <v>0</v>
      </c>
      <c r="G317" s="6" t="str">
        <f aca="false">'WR LLB'!G63</f>
        <v>keine Klausur (Prüfung ist mit dem Lehrenden abzustimmen)</v>
      </c>
      <c r="H317" s="8" t="str">
        <f aca="false">'WR LLB'!H63</f>
        <v>keine Klausur</v>
      </c>
      <c r="I317" s="6" t="str">
        <f aca="false">'WR LLB'!I63</f>
        <v>keine Klausur</v>
      </c>
      <c r="J317" s="8" t="n">
        <f aca="false">'WR LLB'!J63</f>
        <v>0</v>
      </c>
      <c r="K317" s="9" t="str">
        <f aca="false">'WR LLB'!K63</f>
        <v>Kämpf, Hanno, Herr Prof. Dr. (Prof) - 8.000 SWS</v>
      </c>
      <c r="L317" s="1" t="n">
        <f aca="false">Optionen!L36</f>
        <v>0</v>
      </c>
      <c r="M317" s="1" t="n">
        <f aca="false">Optionen!M36</f>
        <v>0</v>
      </c>
    </row>
    <row r="318" customFormat="false" ht="26.85" hidden="false" customHeight="false" outlineLevel="0" collapsed="false">
      <c r="A318" s="6" t="str">
        <f aca="false">'WR LLB'!A67</f>
        <v>20252</v>
      </c>
      <c r="B318" s="6" t="str">
        <f aca="false">'WR LLB'!B67</f>
        <v>932-2604</v>
      </c>
      <c r="C318" s="6" t="str">
        <f aca="false">'WR LLB'!C67</f>
        <v>Business Planning</v>
      </c>
      <c r="D318" s="7" t="str">
        <f aca="false">'WR LLB'!D67</f>
        <v>1657, 042B-504-P1E, 042B-504-P2E        </v>
      </c>
      <c r="E318" s="6" t="n">
        <f aca="false">'WR LLB'!E67</f>
        <v>0</v>
      </c>
      <c r="F318" s="6" t="n">
        <f aca="false">'WR LLB'!F67</f>
        <v>0</v>
      </c>
      <c r="G318" s="6" t="str">
        <f aca="false">'WR LLB'!G67</f>
        <v>keine Klausur (Prüfung ist mit dem Lehrenden abzustimmen)</v>
      </c>
      <c r="H318" s="8" t="str">
        <f aca="false">'WR LLB'!H67</f>
        <v>keine Klausur</v>
      </c>
      <c r="I318" s="6" t="str">
        <f aca="false">'WR LLB'!I67</f>
        <v>keine Klausur</v>
      </c>
      <c r="J318" s="8" t="n">
        <f aca="false">'WR LLB'!J67</f>
        <v>0</v>
      </c>
      <c r="K318" s="9" t="str">
        <f aca="false">'WR LLB'!K67</f>
        <v>Trouet, Philipp Julian, Herr (LBA) - 0.500 SWS;Rosinus, Anna, Frau Prof. Dr. (Prof) - 3.500 SWS</v>
      </c>
      <c r="L318" s="1" t="n">
        <f aca="false">Optionen!L37</f>
        <v>0</v>
      </c>
      <c r="M318" s="1" t="n">
        <f aca="false">Optionen!M37</f>
        <v>0</v>
      </c>
    </row>
    <row r="319" customFormat="false" ht="26.85" hidden="false" customHeight="false" outlineLevel="0" collapsed="false">
      <c r="A319" s="6" t="str">
        <f aca="false">'WR LLB'!A69</f>
        <v>20252</v>
      </c>
      <c r="B319" s="6" t="str">
        <f aca="false">'WR LLB'!B69</f>
        <v>932-2615</v>
      </c>
      <c r="C319" s="6" t="str">
        <f aca="false">'WR LLB'!C69</f>
        <v>Business Planning (mündliche Prüfung)</v>
      </c>
      <c r="D319" s="6" t="n">
        <f aca="false">'WR LLB'!D69</f>
        <v>0</v>
      </c>
      <c r="E319" s="6" t="n">
        <f aca="false">'WR LLB'!E69</f>
        <v>0</v>
      </c>
      <c r="F319" s="6" t="n">
        <f aca="false">'WR LLB'!F69</f>
        <v>0</v>
      </c>
      <c r="G319" s="6" t="str">
        <f aca="false">'WR LLB'!G69</f>
        <v>keine Klausur (Prüfung ist mit dem Lehrenden abzustimmen)</v>
      </c>
      <c r="H319" s="8" t="str">
        <f aca="false">'WR LLB'!H69</f>
        <v>keine Klausur</v>
      </c>
      <c r="I319" s="6" t="str">
        <f aca="false">'WR LLB'!I69</f>
        <v>keine Klausur</v>
      </c>
      <c r="J319" s="8" t="n">
        <f aca="false">'WR LLB'!J69</f>
        <v>0</v>
      </c>
      <c r="K319" s="9" t="str">
        <f aca="false">'WR LLB'!K69</f>
        <v>Trouet, Philipp Julian, Herr (LBA) - 0.500 SWS;Rosinus, Anna, Frau Prof. Dr. (Prof) - 3.500 SWS</v>
      </c>
      <c r="L319" s="1" t="n">
        <f aca="false">Optionen!L38</f>
        <v>0</v>
      </c>
      <c r="M319" s="1" t="n">
        <f aca="false">Optionen!M38</f>
        <v>0</v>
      </c>
    </row>
    <row r="320" customFormat="false" ht="13.8" hidden="false" customHeight="false" outlineLevel="0" collapsed="false">
      <c r="A320" s="6" t="str">
        <f aca="false">'WR LLB'!A71</f>
        <v>20252</v>
      </c>
      <c r="B320" s="6" t="str">
        <f aca="false">'WR LLB'!B71</f>
        <v>932-2702 (A + B)</v>
      </c>
      <c r="C320" s="6" t="str">
        <f aca="false">'WR LLB'!C71</f>
        <v>Rechtliches Projekt- &amp; Prozessmanagement</v>
      </c>
      <c r="D320" s="7" t="str">
        <f aca="false">'WR LLB'!D71</f>
        <v>042B-704-P</v>
      </c>
      <c r="E320" s="6" t="n">
        <f aca="false">'WR LLB'!E71</f>
        <v>0</v>
      </c>
      <c r="F320" s="6" t="n">
        <f aca="false">'WR LLB'!F71</f>
        <v>0</v>
      </c>
      <c r="G320" s="6" t="str">
        <f aca="false">'WR LLB'!G71</f>
        <v>keine Klausur (Prüfung ist mit dem Lehrenden abzustimmen)</v>
      </c>
      <c r="H320" s="8" t="str">
        <f aca="false">'WR LLB'!H71</f>
        <v>keine Klausur</v>
      </c>
      <c r="I320" s="6" t="str">
        <f aca="false">'WR LLB'!I71</f>
        <v>keine Klausur</v>
      </c>
      <c r="J320" s="8" t="n">
        <f aca="false">'WR LLB'!J71</f>
        <v>0</v>
      </c>
      <c r="K320" s="6" t="str">
        <f aca="false">'WR LLB'!K71</f>
        <v>Nerenberg, Colin, Herr (LKfbA) - 8.000 SWS</v>
      </c>
      <c r="L320" s="1" t="n">
        <f aca="false">Optionen!L39</f>
        <v>0</v>
      </c>
      <c r="M320" s="1" t="n">
        <f aca="false">Optionen!M39</f>
        <v>0</v>
      </c>
    </row>
    <row r="321" customFormat="false" ht="13.8" hidden="false" customHeight="false" outlineLevel="0" collapsed="false">
      <c r="A321" s="6" t="str">
        <f aca="false">'WR LLB'!A72</f>
        <v>20252</v>
      </c>
      <c r="B321" s="6" t="str">
        <f aca="false">'WR LLB'!B72</f>
        <v>932-2780 (A + B)</v>
      </c>
      <c r="C321" s="6" t="str">
        <f aca="false">'WR LLB'!C72</f>
        <v>Blockseminar Berufsfeldanalyse II</v>
      </c>
      <c r="D321" s="6" t="str">
        <f aca="false">'WR LLB'!D72</f>
        <v>042B-503-P2</v>
      </c>
      <c r="E321" s="6" t="n">
        <f aca="false">'WR LLB'!E72</f>
        <v>0</v>
      </c>
      <c r="F321" s="6" t="n">
        <f aca="false">'WR LLB'!F72</f>
        <v>0</v>
      </c>
      <c r="G321" s="6" t="str">
        <f aca="false">'WR LLB'!G72</f>
        <v>keine Klausur (Prüfung ist mit dem Lehrenden abzustimmen)</v>
      </c>
      <c r="H321" s="8" t="str">
        <f aca="false">'WR LLB'!H72</f>
        <v>keine Klausur</v>
      </c>
      <c r="I321" s="6" t="str">
        <f aca="false">'WR LLB'!I72</f>
        <v>keine Klausur</v>
      </c>
      <c r="J321" s="8" t="n">
        <f aca="false">'WR LLB'!J72</f>
        <v>0</v>
      </c>
      <c r="K321" s="6" t="str">
        <f aca="false">'WR LLB'!K72</f>
        <v>Kämpf, Hanno, Herr Prof. Dr. (Prof) - 1.000 SWS</v>
      </c>
      <c r="L321" s="1" t="n">
        <f aca="false">Optionen!L40</f>
        <v>0</v>
      </c>
      <c r="M321" s="1" t="n">
        <f aca="false">Optionen!M40</f>
        <v>0</v>
      </c>
    </row>
    <row r="322" customFormat="false" ht="13.8" hidden="false" customHeight="false" outlineLevel="0" collapsed="false">
      <c r="A322" s="6" t="str">
        <f aca="false">'AI VZ u. AIOED BSc dual'!A4</f>
        <v>20252</v>
      </c>
      <c r="B322" s="6" t="str">
        <f aca="false">'AI VZ u. AIOED BSc dual'!B4</f>
        <v>938/D04-2102 (A)</v>
      </c>
      <c r="C322" s="6" t="str">
        <f aca="false">'AI VZ u. AIOED BSc dual'!C4</f>
        <v>Grundlagen der Informatik</v>
      </c>
      <c r="D322" s="6" t="n">
        <f aca="false">'AI VZ u. AIOED BSc dual'!D4</f>
        <v>1102</v>
      </c>
      <c r="E322" s="6" t="n">
        <f aca="false">'AI VZ u. AIOED BSc dual'!E4</f>
        <v>0</v>
      </c>
      <c r="F322" s="6" t="n">
        <f aca="false">'AI VZ u. AIOED BSc dual'!F4</f>
        <v>0</v>
      </c>
      <c r="G322" s="6" t="str">
        <f aca="false">'AI VZ u. AIOED BSc dual'!G4</f>
        <v>keine Klausur (Prüfung ist mit dem Lehrenden abzustimmen)</v>
      </c>
      <c r="H322" s="8" t="str">
        <f aca="false">'AI VZ u. AIOED BSc dual'!H4</f>
        <v>keine Klausur</v>
      </c>
      <c r="I322" s="6" t="str">
        <f aca="false">'AI VZ u. AIOED BSc dual'!I4</f>
        <v>keine Klausur</v>
      </c>
      <c r="J322" s="44" t="n">
        <f aca="false">'AI VZ u. AIOED BSc dual'!J4</f>
        <v>0</v>
      </c>
      <c r="K322" s="9" t="str">
        <f aca="false">'AI VZ u. AIOED BSc dual'!K4</f>
        <v>Walter, Tobias, Herr Prof. Dr. (Prof) - 4.000 SWS</v>
      </c>
      <c r="L322" s="1" t="n">
        <f aca="false">Optionen!L41</f>
        <v>0</v>
      </c>
      <c r="M322" s="1" t="n">
        <f aca="false">Optionen!M41</f>
        <v>0</v>
      </c>
    </row>
    <row r="323" customFormat="false" ht="13.8" hidden="false" customHeight="false" outlineLevel="0" collapsed="false">
      <c r="A323" s="6" t="str">
        <f aca="false">'AI VZ u. AIOED BSc dual'!A5</f>
        <v>20252</v>
      </c>
      <c r="B323" s="6" t="str">
        <f aca="false">'AI VZ u. AIOED BSc dual'!B5</f>
        <v>938/D04-2102 (B)</v>
      </c>
      <c r="C323" s="6" t="str">
        <f aca="false">'AI VZ u. AIOED BSc dual'!C5</f>
        <v>Grundlagen der Informatik</v>
      </c>
      <c r="D323" s="6" t="n">
        <f aca="false">'AI VZ u. AIOED BSc dual'!D5</f>
        <v>0</v>
      </c>
      <c r="E323" s="6" t="n">
        <f aca="false">'AI VZ u. AIOED BSc dual'!E5</f>
        <v>0</v>
      </c>
      <c r="F323" s="6" t="n">
        <f aca="false">'AI VZ u. AIOED BSc dual'!F5</f>
        <v>0</v>
      </c>
      <c r="G323" s="6" t="str">
        <f aca="false">'AI VZ u. AIOED BSc dual'!G5</f>
        <v>keine Klausur (Prüfung ist mit dem Lehrenden abzustimmen)</v>
      </c>
      <c r="H323" s="8" t="str">
        <f aca="false">'AI VZ u. AIOED BSc dual'!H5</f>
        <v>keine Klausur</v>
      </c>
      <c r="I323" s="6" t="str">
        <f aca="false">'AI VZ u. AIOED BSc dual'!I5</f>
        <v>keine Klausur</v>
      </c>
      <c r="J323" s="44" t="n">
        <f aca="false">'AI VZ u. AIOED BSc dual'!J5</f>
        <v>0</v>
      </c>
      <c r="K323" s="9" t="str">
        <f aca="false">'AI VZ u. AIOED BSc dual'!K5</f>
        <v>Pöll, Ferdinand, Herr (LBA) - 4.000 SWS</v>
      </c>
      <c r="L323" s="1" t="n">
        <f aca="false">Optionen!L42</f>
        <v>0</v>
      </c>
      <c r="M323" s="1" t="n">
        <f aca="false">Optionen!M42</f>
        <v>0</v>
      </c>
    </row>
    <row r="324" customFormat="false" ht="14.15" hidden="false" customHeight="false" outlineLevel="0" collapsed="false">
      <c r="A324" s="6" t="str">
        <f aca="false">'AI VZ u. AIOED BSc dual'!A10</f>
        <v>20252</v>
      </c>
      <c r="B324" s="6" t="str">
        <f aca="false">'AI VZ u. AIOED BSc dual'!B10</f>
        <v>938/D04-2107 (A)</v>
      </c>
      <c r="C324" s="6" t="str">
        <f aca="false">'AI VZ u. AIOED BSc dual'!C10</f>
        <v>Digitalität in der Gesellschaft</v>
      </c>
      <c r="D324" s="7" t="str">
        <f aca="false">'AI VZ u. AIOED BSc dual'!D10</f>
        <v>1304, 1107</v>
      </c>
      <c r="E324" s="6" t="n">
        <f aca="false">'AI VZ u. AIOED BSc dual'!E10</f>
        <v>0</v>
      </c>
      <c r="F324" s="6" t="n">
        <f aca="false">'AI VZ u. AIOED BSc dual'!F10</f>
        <v>0</v>
      </c>
      <c r="G324" s="6" t="str">
        <f aca="false">'AI VZ u. AIOED BSc dual'!G10</f>
        <v>keine Klausur (Prüfung ist mit dem Lehrenden abzustimmen)</v>
      </c>
      <c r="H324" s="8" t="str">
        <f aca="false">'AI VZ u. AIOED BSc dual'!H10</f>
        <v>keine Klausur</v>
      </c>
      <c r="I324" s="6" t="str">
        <f aca="false">'AI VZ u. AIOED BSc dual'!I10</f>
        <v>keine Klausur</v>
      </c>
      <c r="J324" s="44" t="n">
        <f aca="false">'AI VZ u. AIOED BSc dual'!J10</f>
        <v>0</v>
      </c>
      <c r="K324" s="9" t="str">
        <f aca="false">'AI VZ u. AIOED BSc dual'!K10</f>
        <v>Kordt, Pascal, Herr Prof. Dr.  - SWS</v>
      </c>
      <c r="L324" s="1" t="n">
        <f aca="false">Optionen!L43</f>
        <v>0</v>
      </c>
      <c r="M324" s="1" t="n">
        <f aca="false">Optionen!M43</f>
        <v>0</v>
      </c>
    </row>
    <row r="325" customFormat="false" ht="14.15" hidden="false" customHeight="false" outlineLevel="0" collapsed="false">
      <c r="A325" s="6" t="str">
        <f aca="false">'AI VZ u. AIOED BSc dual'!A11</f>
        <v>20252</v>
      </c>
      <c r="B325" s="6" t="str">
        <f aca="false">'AI VZ u. AIOED BSc dual'!B11</f>
        <v>938/D04-2107 (B)</v>
      </c>
      <c r="C325" s="6" t="str">
        <f aca="false">'AI VZ u. AIOED BSc dual'!C11</f>
        <v>Digitalität in der Gesellschaft</v>
      </c>
      <c r="D325" s="6" t="n">
        <f aca="false">'AI VZ u. AIOED BSc dual'!D11</f>
        <v>0</v>
      </c>
      <c r="E325" s="6" t="n">
        <f aca="false">'AI VZ u. AIOED BSc dual'!E11</f>
        <v>0</v>
      </c>
      <c r="F325" s="6" t="n">
        <f aca="false">'AI VZ u. AIOED BSc dual'!F11</f>
        <v>0</v>
      </c>
      <c r="G325" s="6" t="str">
        <f aca="false">'AI VZ u. AIOED BSc dual'!G11</f>
        <v>keine Klausur (Prüfung ist mit dem Lehrenden abzustimmen)</v>
      </c>
      <c r="H325" s="8" t="str">
        <f aca="false">'AI VZ u. AIOED BSc dual'!H11</f>
        <v>keine Klausur</v>
      </c>
      <c r="I325" s="6" t="str">
        <f aca="false">'AI VZ u. AIOED BSc dual'!I11</f>
        <v>keine Klausur</v>
      </c>
      <c r="J325" s="44" t="n">
        <f aca="false">'AI VZ u. AIOED BSc dual'!J11</f>
        <v>0</v>
      </c>
      <c r="K325" s="9" t="str">
        <f aca="false">'AI VZ u. AIOED BSc dual'!K11</f>
        <v>Kordt, Pascal, Herr Prof. Dr.  - SWS</v>
      </c>
      <c r="L325" s="1" t="n">
        <f aca="false">Optionen!L44</f>
        <v>0</v>
      </c>
      <c r="M325" s="1" t="n">
        <f aca="false">Optionen!M44</f>
        <v>0</v>
      </c>
    </row>
    <row r="326" customFormat="false" ht="14.15" hidden="false" customHeight="false" outlineLevel="0" collapsed="false">
      <c r="A326" s="6" t="str">
        <f aca="false">'AI VZ u. AIOED BSc dual'!A20</f>
        <v>w</v>
      </c>
      <c r="B326" s="6" t="str">
        <f aca="false">'AI VZ u. AIOED BSc dual'!B20</f>
        <v>938/D04-2204 (A)</v>
      </c>
      <c r="C326" s="6" t="str">
        <f aca="false">'AI VZ u. AIOED BSc dual'!C20</f>
        <v>Methodik/Systematik/Präsentation</v>
      </c>
      <c r="D326" s="6" t="n">
        <f aca="false">'AI VZ u. AIOED BSc dual'!D20</f>
        <v>1204</v>
      </c>
      <c r="E326" s="6" t="n">
        <f aca="false">'AI VZ u. AIOED BSc dual'!E20</f>
        <v>0</v>
      </c>
      <c r="F326" s="6" t="n">
        <f aca="false">'AI VZ u. AIOED BSc dual'!F20</f>
        <v>0</v>
      </c>
      <c r="G326" s="6" t="str">
        <f aca="false">'AI VZ u. AIOED BSc dual'!G20</f>
        <v>keine Klausur (Prüfung ist mit dem Lehrenden abzustimmen)</v>
      </c>
      <c r="H326" s="8" t="str">
        <f aca="false">'AI VZ u. AIOED BSc dual'!H20</f>
        <v>keine Klausur</v>
      </c>
      <c r="I326" s="6" t="str">
        <f aca="false">'AI VZ u. AIOED BSc dual'!I20</f>
        <v>keine Klausur</v>
      </c>
      <c r="J326" s="44" t="n">
        <f aca="false">'AI VZ u. AIOED BSc dual'!J20</f>
        <v>0</v>
      </c>
      <c r="K326" s="9" t="str">
        <f aca="false">'AI VZ u. AIOED BSc dual'!K20</f>
        <v>Heidrich, Jens, Herr Prof. Dr. (Prof) - 4.000 SWS</v>
      </c>
      <c r="L326" s="1" t="n">
        <f aca="false">Optionen!L45</f>
        <v>0</v>
      </c>
      <c r="M326" s="1" t="n">
        <f aca="false">Optionen!M45</f>
        <v>0</v>
      </c>
    </row>
    <row r="327" customFormat="false" ht="14.15" hidden="false" customHeight="false" outlineLevel="0" collapsed="false">
      <c r="A327" s="6" t="str">
        <f aca="false">'AI VZ u. AIOED BSc dual'!A21</f>
        <v>w</v>
      </c>
      <c r="B327" s="6" t="str">
        <f aca="false">'AI VZ u. AIOED BSc dual'!B21</f>
        <v>938/D04-2204 (B)</v>
      </c>
      <c r="C327" s="6" t="str">
        <f aca="false">'AI VZ u. AIOED BSc dual'!C21</f>
        <v>Methodik/Systematik/Präsentation</v>
      </c>
      <c r="D327" s="6" t="n">
        <f aca="false">'AI VZ u. AIOED BSc dual'!D21</f>
        <v>0</v>
      </c>
      <c r="E327" s="6" t="n">
        <f aca="false">'AI VZ u. AIOED BSc dual'!E21</f>
        <v>0</v>
      </c>
      <c r="F327" s="6" t="n">
        <f aca="false">'AI VZ u. AIOED BSc dual'!F21</f>
        <v>0</v>
      </c>
      <c r="G327" s="6" t="str">
        <f aca="false">'AI VZ u. AIOED BSc dual'!G21</f>
        <v>keine Klausur (Prüfung ist mit dem Lehrenden abzustimmen)</v>
      </c>
      <c r="H327" s="8" t="str">
        <f aca="false">'AI VZ u. AIOED BSc dual'!H21</f>
        <v>keine Klausur</v>
      </c>
      <c r="I327" s="6" t="str">
        <f aca="false">'AI VZ u. AIOED BSc dual'!I21</f>
        <v>keine Klausur</v>
      </c>
      <c r="J327" s="44" t="n">
        <f aca="false">'AI VZ u. AIOED BSc dual'!J21</f>
        <v>0</v>
      </c>
      <c r="K327" s="9" t="str">
        <f aca="false">'AI VZ u. AIOED BSc dual'!K21</f>
        <v>Heidrich, Jens, Herr Prof. Dr. (Prof) - 4.000 SWS</v>
      </c>
    </row>
    <row r="328" customFormat="false" ht="26.85" hidden="false" customHeight="false" outlineLevel="0" collapsed="false">
      <c r="A328" s="6" t="str">
        <f aca="false">'AI VZ u. AIOED BSc dual'!A36</f>
        <v>20252</v>
      </c>
      <c r="B328" s="6" t="str">
        <f aca="false">'AI VZ u. AIOED BSc dual'!B36</f>
        <v>938/D04-2309 (A)</v>
      </c>
      <c r="C328" s="6" t="str">
        <f aca="false">'AI VZ u. AIOED BSc dual'!C36</f>
        <v>Enterprise Computing</v>
      </c>
      <c r="D328" s="6" t="n">
        <f aca="false">'AI VZ u. AIOED BSc dual'!D36</f>
        <v>0</v>
      </c>
      <c r="E328" s="6" t="n">
        <f aca="false">'AI VZ u. AIOED BSc dual'!E36</f>
        <v>0</v>
      </c>
      <c r="F328" s="6" t="n">
        <f aca="false">'AI VZ u. AIOED BSc dual'!F36</f>
        <v>0</v>
      </c>
      <c r="G328" s="6" t="str">
        <f aca="false">'AI VZ u. AIOED BSc dual'!G36</f>
        <v>keine Klausur (Prüfung ist mit dem Lehrenden abzustimmen)</v>
      </c>
      <c r="H328" s="8" t="str">
        <f aca="false">'AI VZ u. AIOED BSc dual'!H36</f>
        <v>keine Klausur</v>
      </c>
      <c r="I328" s="6" t="str">
        <f aca="false">'AI VZ u. AIOED BSc dual'!I36</f>
        <v>keine Klausur</v>
      </c>
      <c r="J328" s="44" t="n">
        <f aca="false">'AI VZ u. AIOED BSc dual'!J36</f>
        <v>0</v>
      </c>
      <c r="K328" s="9" t="str">
        <f aca="false">'AI VZ u. AIOED BSc dual'!K36</f>
        <v>Al-Atari, Mareike, Frau (LBA) - 1.000 SWS;Kuntze, Nicolai, Herr Prof. Dr. (Prof) - 3.000 SWS</v>
      </c>
      <c r="L328" s="1" t="n">
        <f aca="false">Optionen!L46</f>
        <v>0</v>
      </c>
      <c r="M328" s="1" t="n">
        <f aca="false">Optionen!M46</f>
        <v>0</v>
      </c>
    </row>
    <row r="329" customFormat="false" ht="26.85" hidden="false" customHeight="false" outlineLevel="0" collapsed="false">
      <c r="A329" s="6" t="str">
        <f aca="false">'AI VZ u. AIOED BSc dual'!A37</f>
        <v>20252</v>
      </c>
      <c r="B329" s="6" t="str">
        <f aca="false">'AI VZ u. AIOED BSc dual'!B37</f>
        <v>938/D04-2309 (B)</v>
      </c>
      <c r="C329" s="6" t="str">
        <f aca="false">'AI VZ u. AIOED BSc dual'!C37</f>
        <v>Enterprise Computing</v>
      </c>
      <c r="D329" s="6" t="n">
        <f aca="false">'AI VZ u. AIOED BSc dual'!D37</f>
        <v>0</v>
      </c>
      <c r="E329" s="6" t="n">
        <f aca="false">'AI VZ u. AIOED BSc dual'!E37</f>
        <v>0</v>
      </c>
      <c r="F329" s="6" t="n">
        <f aca="false">'AI VZ u. AIOED BSc dual'!F37</f>
        <v>0</v>
      </c>
      <c r="G329" s="6" t="str">
        <f aca="false">'AI VZ u. AIOED BSc dual'!G37</f>
        <v>keine Klausur (Prüfung ist mit dem Lehrenden abzustimmen)</v>
      </c>
      <c r="H329" s="8" t="str">
        <f aca="false">'AI VZ u. AIOED BSc dual'!H37</f>
        <v>keine Klausur</v>
      </c>
      <c r="I329" s="6" t="str">
        <f aca="false">'AI VZ u. AIOED BSc dual'!I37</f>
        <v>keine Klausur</v>
      </c>
      <c r="J329" s="44" t="n">
        <f aca="false">'AI VZ u. AIOED BSc dual'!J37</f>
        <v>0</v>
      </c>
      <c r="K329" s="9" t="str">
        <f aca="false">'AI VZ u. AIOED BSc dual'!K37</f>
        <v>Al-Atari, Mareike, Frau (LBA) - 1.000 SWS;Kuntze, Nicolai, Herr Prof. Dr. (Prof) - 3.000 SWS</v>
      </c>
      <c r="L329" s="1" t="n">
        <f aca="false">Optionen!L47</f>
        <v>0</v>
      </c>
      <c r="M329" s="1" t="n">
        <f aca="false">Optionen!M47</f>
        <v>0</v>
      </c>
    </row>
    <row r="330" customFormat="false" ht="14.15" hidden="false" customHeight="false" outlineLevel="0" collapsed="false">
      <c r="A330" s="6" t="str">
        <f aca="false">'AI VZ u. AIOED BSc dual'!A43</f>
        <v>w</v>
      </c>
      <c r="B330" s="6" t="str">
        <f aca="false">'AI VZ u. AIOED BSc dual'!B43</f>
        <v>938/D04-2407</v>
      </c>
      <c r="C330" s="6" t="str">
        <f aca="false">'AI VZ u. AIOED BSc dual'!C43</f>
        <v>Software Projekt</v>
      </c>
      <c r="D330" s="6" t="n">
        <f aca="false">'AI VZ u. AIOED BSc dual'!D43</f>
        <v>1407</v>
      </c>
      <c r="E330" s="6" t="n">
        <f aca="false">'AI VZ u. AIOED BSc dual'!E43</f>
        <v>0</v>
      </c>
      <c r="F330" s="6" t="n">
        <f aca="false">'AI VZ u. AIOED BSc dual'!F43</f>
        <v>0</v>
      </c>
      <c r="G330" s="6" t="str">
        <f aca="false">'AI VZ u. AIOED BSc dual'!G43</f>
        <v>keine Klausur (Prüfung ist mit dem Lehrenden abzustimmen)</v>
      </c>
      <c r="H330" s="8" t="str">
        <f aca="false">'AI VZ u. AIOED BSc dual'!H43</f>
        <v>keine Klausur</v>
      </c>
      <c r="I330" s="6" t="str">
        <f aca="false">'AI VZ u. AIOED BSc dual'!I43</f>
        <v>keine Klausur</v>
      </c>
      <c r="J330" s="44" t="n">
        <f aca="false">'AI VZ u. AIOED BSc dual'!J43</f>
        <v>0</v>
      </c>
      <c r="K330" s="9" t="str">
        <f aca="false">'AI VZ u. AIOED BSc dual'!K43</f>
        <v>Heidrich, Jens, Herr Prof. Dr. (Prof) - 4.000 SWS</v>
      </c>
      <c r="L330" s="1" t="n">
        <f aca="false">Optionen!L48</f>
        <v>0</v>
      </c>
      <c r="M330" s="1" t="n">
        <f aca="false">Optionen!M48</f>
        <v>0</v>
      </c>
    </row>
    <row r="331" customFormat="false" ht="14.15" hidden="false" customHeight="false" outlineLevel="0" collapsed="false">
      <c r="A331" s="6" t="str">
        <f aca="false">'AI VZ u. AIOED BSc dual'!A44</f>
        <v>20252</v>
      </c>
      <c r="B331" s="6" t="str">
        <f aca="false">'AI VZ u. AIOED BSc dual'!B44</f>
        <v>938/D04-2508</v>
      </c>
      <c r="C331" s="6" t="str">
        <f aca="false">'AI VZ u. AIOED BSc dual'!C44</f>
        <v>Große und verteilte Systeme</v>
      </c>
      <c r="D331" s="6" t="n">
        <f aca="false">'AI VZ u. AIOED BSc dual'!D44</f>
        <v>1301</v>
      </c>
      <c r="E331" s="6" t="n">
        <f aca="false">'AI VZ u. AIOED BSc dual'!E44</f>
        <v>0</v>
      </c>
      <c r="F331" s="6" t="n">
        <f aca="false">'AI VZ u. AIOED BSc dual'!F44</f>
        <v>0</v>
      </c>
      <c r="G331" s="6" t="str">
        <f aca="false">'AI VZ u. AIOED BSc dual'!G44</f>
        <v>keine Klausur (Prüfung ist mit dem Lehrenden abzustimmen)</v>
      </c>
      <c r="H331" s="8" t="str">
        <f aca="false">'AI VZ u. AIOED BSc dual'!H44</f>
        <v>keine Klausur</v>
      </c>
      <c r="I331" s="6" t="str">
        <f aca="false">'AI VZ u. AIOED BSc dual'!I44</f>
        <v>keine Klausur</v>
      </c>
      <c r="J331" s="44" t="n">
        <f aca="false">'AI VZ u. AIOED BSc dual'!J44</f>
        <v>0</v>
      </c>
      <c r="K331" s="9" t="str">
        <f aca="false">'AI VZ u. AIOED BSc dual'!K44</f>
        <v>Reinhardt, Jens, Herr Prof. Dr. (Prof) - 4.000 SWS</v>
      </c>
      <c r="L331" s="1" t="n">
        <f aca="false">Optionen!L49</f>
        <v>0</v>
      </c>
      <c r="M331" s="1" t="n">
        <f aca="false">Optionen!M49</f>
        <v>0</v>
      </c>
    </row>
    <row r="332" customFormat="false" ht="14.15" hidden="false" customHeight="false" outlineLevel="0" collapsed="false">
      <c r="A332" s="6" t="str">
        <f aca="false">'AI VZ u. AIOED BSc dual'!A45</f>
        <v>20252</v>
      </c>
      <c r="B332" s="6" t="str">
        <f aca="false">'AI VZ u. AIOED BSc dual'!B45</f>
        <v>938/D04-2580</v>
      </c>
      <c r="C332" s="6" t="str">
        <f aca="false">'AI VZ u. AIOED BSc dual'!C45</f>
        <v>Praxismodul I</v>
      </c>
      <c r="D332" s="6" t="n">
        <f aca="false">'AI VZ u. AIOED BSc dual'!D45</f>
        <v>1580</v>
      </c>
      <c r="E332" s="6" t="n">
        <f aca="false">'AI VZ u. AIOED BSc dual'!E45</f>
        <v>0</v>
      </c>
      <c r="F332" s="28" t="str">
        <f aca="false">'AI VZ u. AIOED BSc dual'!F45</f>
        <v>30%, 20%</v>
      </c>
      <c r="G332" s="6" t="str">
        <f aca="false">'AI VZ u. AIOED BSc dual'!G45</f>
        <v>keine Klausur (Prüfung ist mit dem Lehrenden abzustimmen)</v>
      </c>
      <c r="H332" s="8" t="str">
        <f aca="false">'AI VZ u. AIOED BSc dual'!H45</f>
        <v>keine Klausur</v>
      </c>
      <c r="I332" s="6" t="str">
        <f aca="false">'AI VZ u. AIOED BSc dual'!I45</f>
        <v>keine Klausur</v>
      </c>
      <c r="J332" s="44" t="n">
        <f aca="false">'AI VZ u. AIOED BSc dual'!J45</f>
        <v>0</v>
      </c>
      <c r="K332" s="9" t="str">
        <f aca="false">'AI VZ u. AIOED BSc dual'!K45</f>
        <v>N.N.</v>
      </c>
      <c r="L332" s="1" t="n">
        <f aca="false">Optionen!L50</f>
        <v>0</v>
      </c>
      <c r="M332" s="1" t="n">
        <f aca="false">Optionen!M50</f>
        <v>0</v>
      </c>
    </row>
    <row r="333" customFormat="false" ht="14.15" hidden="false" customHeight="false" outlineLevel="0" collapsed="false">
      <c r="A333" s="6" t="str">
        <f aca="false">'AI VZ u. AIOED BSc dual'!A46</f>
        <v>w</v>
      </c>
      <c r="B333" s="6" t="str">
        <f aca="false">'AI VZ u. AIOED BSc dual'!B46</f>
        <v>938/D04-1680</v>
      </c>
      <c r="C333" s="6" t="str">
        <f aca="false">'AI VZ u. AIOED BSc dual'!C46</f>
        <v>Praxismodul II</v>
      </c>
      <c r="D333" s="6" t="n">
        <f aca="false">'AI VZ u. AIOED BSc dual'!D46</f>
        <v>2680</v>
      </c>
      <c r="E333" s="6" t="n">
        <f aca="false">'AI VZ u. AIOED BSc dual'!E46</f>
        <v>0</v>
      </c>
      <c r="F333" s="28" t="str">
        <f aca="false">'AI VZ u. AIOED BSc dual'!F46</f>
        <v>30%, 20%</v>
      </c>
      <c r="G333" s="6" t="str">
        <f aca="false">'AI VZ u. AIOED BSc dual'!G46</f>
        <v>keine Klausur (Prüfung ist mit dem Lehrenden abzustimmen)</v>
      </c>
      <c r="H333" s="8" t="str">
        <f aca="false">'AI VZ u. AIOED BSc dual'!H46</f>
        <v>keine Klausur</v>
      </c>
      <c r="I333" s="6" t="str">
        <f aca="false">'AI VZ u. AIOED BSc dual'!I46</f>
        <v>keine Klausur</v>
      </c>
      <c r="J333" s="44" t="n">
        <f aca="false">'AI VZ u. AIOED BSc dual'!J46</f>
        <v>0</v>
      </c>
      <c r="K333" s="9" t="str">
        <f aca="false">'AI VZ u. AIOED BSc dual'!K46</f>
        <v>N.N.</v>
      </c>
      <c r="L333" s="1" t="n">
        <f aca="false">Optionen!L51</f>
        <v>0</v>
      </c>
      <c r="M333" s="1" t="n">
        <f aca="false">Optionen!M51</f>
        <v>0</v>
      </c>
    </row>
    <row r="334" customFormat="false" ht="14.15" hidden="false" customHeight="false" outlineLevel="0" collapsed="false">
      <c r="A334" s="6" t="str">
        <f aca="false">'DIM VZ u. dual BSc'!A7</f>
        <v>20252</v>
      </c>
      <c r="B334" s="6" t="str">
        <f aca="false">'DIM VZ u. dual BSc'!B7</f>
        <v>D01/D08-2105</v>
      </c>
      <c r="C334" s="6" t="str">
        <f aca="false">'DIM VZ u. dual BSc'!C7</f>
        <v>Methodik, Systematik &amp; Präsentation</v>
      </c>
      <c r="D334" s="6" t="n">
        <f aca="false">'DIM VZ u. dual BSc'!D7</f>
        <v>0</v>
      </c>
      <c r="E334" s="6" t="n">
        <f aca="false">'DIM VZ u. dual BSc'!E7</f>
        <v>0</v>
      </c>
      <c r="F334" s="6" t="n">
        <f aca="false">'DIM VZ u. dual BSc'!F7</f>
        <v>0</v>
      </c>
      <c r="G334" s="6" t="str">
        <f aca="false">'DIM VZ u. dual BSc'!G7</f>
        <v>keine Klausur (Prüfung ist mit dem Lehrenden abzustimmen)</v>
      </c>
      <c r="H334" s="8" t="str">
        <f aca="false">'DIM VZ u. dual BSc'!H7</f>
        <v>keine Klausur</v>
      </c>
      <c r="I334" s="6" t="str">
        <f aca="false">'DIM VZ u. dual BSc'!I7</f>
        <v>keine Klausur</v>
      </c>
      <c r="J334" s="44" t="n">
        <f aca="false">'DIM VZ u. dual BSc'!J7</f>
        <v>0</v>
      </c>
      <c r="K334" s="9" t="str">
        <f aca="false">'DIM VZ u. dual BSc'!K7</f>
        <v>ten Thoren, Janna, Frau (Ass) - 3.000 SWS</v>
      </c>
      <c r="L334" s="1" t="n">
        <f aca="false">Optionen!L52</f>
        <v>0</v>
      </c>
      <c r="M334" s="1" t="n">
        <f aca="false">Optionen!M52</f>
        <v>0</v>
      </c>
    </row>
    <row r="335" customFormat="false" ht="14.15" hidden="false" customHeight="false" outlineLevel="0" collapsed="false">
      <c r="A335" s="6" t="str">
        <f aca="false">'DIM VZ u. dual BSc'!A9</f>
        <v>w</v>
      </c>
      <c r="B335" s="6" t="str">
        <f aca="false">'DIM VZ u. dual BSc'!B9</f>
        <v>D01/D08-2202</v>
      </c>
      <c r="C335" s="6" t="str">
        <f aca="false">'DIM VZ u. dual BSc'!C9</f>
        <v>Softwareentwicklung I (Frontend)</v>
      </c>
      <c r="D335" s="6" t="n">
        <f aca="false">'DIM VZ u. dual BSc'!D9</f>
        <v>0</v>
      </c>
      <c r="E335" s="6" t="n">
        <f aca="false">'DIM VZ u. dual BSc'!E9</f>
        <v>0</v>
      </c>
      <c r="F335" s="6" t="n">
        <f aca="false">'DIM VZ u. dual BSc'!F9</f>
        <v>0</v>
      </c>
      <c r="G335" s="6" t="str">
        <f aca="false">'DIM VZ u. dual BSc'!G9</f>
        <v>keine Klausur (Prüfung ist mit dem Lehrenden abzustimmen)</v>
      </c>
      <c r="H335" s="8" t="str">
        <f aca="false">'DIM VZ u. dual BSc'!H9</f>
        <v>keine Klausur</v>
      </c>
      <c r="I335" s="6" t="str">
        <f aca="false">'DIM VZ u. dual BSc'!I9</f>
        <v>keine Klausur</v>
      </c>
      <c r="J335" s="44" t="n">
        <f aca="false">'DIM VZ u. dual BSc'!J9</f>
        <v>0</v>
      </c>
      <c r="K335" s="9" t="str">
        <f aca="false">'DIM VZ u. dual BSc'!K9</f>
        <v>Hauck, Marcel, Herr Dr. (Prof) - 3.000 SWS</v>
      </c>
      <c r="L335" s="1" t="n">
        <f aca="false">Optionen!L53</f>
        <v>0</v>
      </c>
      <c r="M335" s="1" t="n">
        <f aca="false">Optionen!M53</f>
        <v>0</v>
      </c>
    </row>
    <row r="336" customFormat="false" ht="14.15" hidden="false" customHeight="false" outlineLevel="0" collapsed="false">
      <c r="A336" s="6" t="str">
        <f aca="false">'DIM VZ u. dual BSc'!A13</f>
        <v>w</v>
      </c>
      <c r="B336" s="6" t="str">
        <f aca="false">'DIM VZ u. dual BSc'!B13</f>
        <v>D08-2206</v>
      </c>
      <c r="C336" s="6" t="str">
        <f aca="false">'DIM VZ u. dual BSc'!C13</f>
        <v>Projektmanagement</v>
      </c>
      <c r="D336" s="6" t="n">
        <f aca="false">'DIM VZ u. dual BSc'!D13</f>
        <v>0</v>
      </c>
      <c r="E336" s="6" t="n">
        <f aca="false">'DIM VZ u. dual BSc'!E13</f>
        <v>0</v>
      </c>
      <c r="F336" s="6" t="n">
        <f aca="false">'DIM VZ u. dual BSc'!F13</f>
        <v>0</v>
      </c>
      <c r="G336" s="6" t="str">
        <f aca="false">'DIM VZ u. dual BSc'!G13</f>
        <v>keine Klausur (Prüfung ist mit dem Lehrenden abzustimmen)</v>
      </c>
      <c r="H336" s="8" t="str">
        <f aca="false">'DIM VZ u. dual BSc'!H13</f>
        <v>keine Klausur</v>
      </c>
      <c r="I336" s="6" t="str">
        <f aca="false">'DIM VZ u. dual BSc'!I13</f>
        <v>keine Klausur</v>
      </c>
      <c r="J336" s="44" t="n">
        <f aca="false">'DIM VZ u. dual BSc'!J13</f>
        <v>0</v>
      </c>
      <c r="K336" s="9" t="str">
        <f aca="false">'DIM VZ u. dual BSc'!K13</f>
        <v>Pagel, Sven, Herr Prof. Dr. (Prof) - 2.000 SWS</v>
      </c>
      <c r="L336" s="1" t="n">
        <f aca="false">Optionen!L54</f>
        <v>0</v>
      </c>
      <c r="M336" s="1" t="n">
        <f aca="false">Optionen!M54</f>
        <v>0</v>
      </c>
    </row>
    <row r="337" customFormat="false" ht="14.15" hidden="false" customHeight="false" outlineLevel="0" collapsed="false">
      <c r="A337" s="6" t="str">
        <f aca="false">'DIM VZ u. dual BSc'!A14</f>
        <v>w</v>
      </c>
      <c r="B337" s="6" t="str">
        <f aca="false">'DIM VZ u. dual BSc'!B14</f>
        <v>D01-2206</v>
      </c>
      <c r="C337" s="6" t="str">
        <f aca="false">'DIM VZ u. dual BSc'!C14</f>
        <v>Projektmanagement</v>
      </c>
      <c r="D337" s="6" t="n">
        <f aca="false">'DIM VZ u. dual BSc'!D14</f>
        <v>0</v>
      </c>
      <c r="E337" s="6" t="n">
        <f aca="false">'DIM VZ u. dual BSc'!E14</f>
        <v>0</v>
      </c>
      <c r="F337" s="6" t="n">
        <f aca="false">'DIM VZ u. dual BSc'!F14</f>
        <v>0</v>
      </c>
      <c r="G337" s="6" t="str">
        <f aca="false">'DIM VZ u. dual BSc'!G14</f>
        <v>keine Klausur (Prüfung ist mit dem Lehrenden abzustimmen)</v>
      </c>
      <c r="H337" s="8" t="str">
        <f aca="false">'DIM VZ u. dual BSc'!H14</f>
        <v>keine Klausur</v>
      </c>
      <c r="I337" s="6" t="str">
        <f aca="false">'DIM VZ u. dual BSc'!I14</f>
        <v>keine Klausur</v>
      </c>
      <c r="J337" s="44" t="n">
        <f aca="false">'DIM VZ u. dual BSc'!J14</f>
        <v>0</v>
      </c>
      <c r="K337" s="9" t="str">
        <f aca="false">'DIM VZ u. dual BSc'!K14</f>
        <v>Pagel, Sven, Herr Prof. Dr. (Prof) - 2.000 SWS</v>
      </c>
      <c r="L337" s="1" t="n">
        <f aca="false">Optionen!L55</f>
        <v>0</v>
      </c>
      <c r="M337" s="1" t="n">
        <f aca="false">Optionen!M55</f>
        <v>0</v>
      </c>
    </row>
    <row r="338" customFormat="false" ht="14.15" hidden="false" customHeight="false" outlineLevel="0" collapsed="false">
      <c r="A338" s="6" t="str">
        <f aca="false">'DIM VZ u. dual BSc'!A17</f>
        <v>20252</v>
      </c>
      <c r="B338" s="6" t="str">
        <f aca="false">'DIM VZ u. dual BSc'!B17</f>
        <v>D01/D08-2302</v>
      </c>
      <c r="C338" s="6" t="str">
        <f aca="false">'DIM VZ u. dual BSc'!C17</f>
        <v>Softwareentwicklung II (Backend)</v>
      </c>
      <c r="D338" s="6" t="n">
        <f aca="false">'DIM VZ u. dual BSc'!D17</f>
        <v>0</v>
      </c>
      <c r="E338" s="6" t="n">
        <f aca="false">'DIM VZ u. dual BSc'!E17</f>
        <v>0</v>
      </c>
      <c r="F338" s="6" t="n">
        <f aca="false">'DIM VZ u. dual BSc'!F17</f>
        <v>0</v>
      </c>
      <c r="G338" s="6" t="str">
        <f aca="false">'DIM VZ u. dual BSc'!G17</f>
        <v>keine Klausur (Prüfung ist mit dem Lehrenden abzustimmen)</v>
      </c>
      <c r="H338" s="8" t="str">
        <f aca="false">'DIM VZ u. dual BSc'!H17</f>
        <v>keine Klausur</v>
      </c>
      <c r="I338" s="6" t="str">
        <f aca="false">'DIM VZ u. dual BSc'!I17</f>
        <v>keine Klausur</v>
      </c>
      <c r="J338" s="44" t="n">
        <f aca="false">'DIM VZ u. dual BSc'!J17</f>
        <v>0</v>
      </c>
      <c r="K338" s="9" t="str">
        <f aca="false">'DIM VZ u. dual BSc'!K17</f>
        <v>Hauck, Marcel, Herr Prof. Dr. (Prof) - 4.000 SWS</v>
      </c>
      <c r="L338" s="1" t="n">
        <f aca="false">Optionen!L56</f>
        <v>0</v>
      </c>
      <c r="M338" s="1" t="n">
        <f aca="false">Optionen!M56</f>
        <v>0</v>
      </c>
    </row>
    <row r="339" customFormat="false" ht="26.85" hidden="false" customHeight="false" outlineLevel="0" collapsed="false">
      <c r="A339" s="6" t="str">
        <f aca="false">'DIM VZ u. dual BSc'!A20</f>
        <v>20252</v>
      </c>
      <c r="B339" s="6" t="str">
        <f aca="false">'DIM VZ u. dual BSc'!B20</f>
        <v>D01/D08-2380</v>
      </c>
      <c r="C339" s="6" t="str">
        <f aca="false">'DIM VZ u. dual BSc'!C20</f>
        <v>Statistisches Forschungsprojekt</v>
      </c>
      <c r="D339" s="6" t="n">
        <f aca="false">'DIM VZ u. dual BSc'!D20</f>
        <v>0</v>
      </c>
      <c r="E339" s="6" t="n">
        <f aca="false">'DIM VZ u. dual BSc'!E20</f>
        <v>0</v>
      </c>
      <c r="F339" s="6" t="n">
        <f aca="false">'DIM VZ u. dual BSc'!F20</f>
        <v>0</v>
      </c>
      <c r="G339" s="6" t="str">
        <f aca="false">'DIM VZ u. dual BSc'!G20</f>
        <v>keine Klausur (Prüfung ist mit dem Lehrenden abzustimmen)</v>
      </c>
      <c r="H339" s="8" t="str">
        <f aca="false">'DIM VZ u. dual BSc'!H20</f>
        <v>keine Klausur</v>
      </c>
      <c r="I339" s="6" t="str">
        <f aca="false">'DIM VZ u. dual BSc'!I20</f>
        <v>keine Klausur</v>
      </c>
      <c r="J339" s="44" t="n">
        <f aca="false">'DIM VZ u. dual BSc'!J20</f>
        <v>0</v>
      </c>
      <c r="K339" s="9" t="str">
        <f aca="false">'DIM VZ u. dual BSc'!K20</f>
        <v>Baldauf, Lisa, Frau (LBA) - 2.000 SWS;Hauck, Marcel, Herr Prof. Dr. (Prof) - 2.000 SWS</v>
      </c>
      <c r="L339" s="1" t="n">
        <f aca="false">'WR LLM'!L2</f>
        <v>0</v>
      </c>
      <c r="M339" s="1" t="n">
        <f aca="false">'WR LLM'!M2</f>
        <v>0</v>
      </c>
    </row>
    <row r="340" customFormat="false" ht="14.15" hidden="false" customHeight="false" outlineLevel="0" collapsed="false">
      <c r="A340" s="6" t="str">
        <f aca="false">'DIM VZ u. dual BSc'!A27</f>
        <v>w</v>
      </c>
      <c r="B340" s="6" t="str">
        <f aca="false">'DIM VZ u. dual BSc'!B27</f>
        <v>D01/D08-2404</v>
      </c>
      <c r="C340" s="6" t="str">
        <f aca="false">'DIM VZ u. dual BSc'!C27</f>
        <v>Business Process Management</v>
      </c>
      <c r="D340" s="6" t="n">
        <f aca="false">'DIM VZ u. dual BSc'!D27</f>
        <v>0</v>
      </c>
      <c r="E340" s="6" t="n">
        <f aca="false">'DIM VZ u. dual BSc'!E27</f>
        <v>0</v>
      </c>
      <c r="F340" s="6" t="n">
        <f aca="false">'DIM VZ u. dual BSc'!F27</f>
        <v>0</v>
      </c>
      <c r="G340" s="6" t="str">
        <f aca="false">'DIM VZ u. dual BSc'!G27</f>
        <v>keine Klausur (Prüfung ist mit dem Lehrenden abzustimmen)</v>
      </c>
      <c r="H340" s="8" t="str">
        <f aca="false">'DIM VZ u. dual BSc'!H27</f>
        <v>keine Klausur</v>
      </c>
      <c r="I340" s="6" t="str">
        <f aca="false">'DIM VZ u. dual BSc'!I27</f>
        <v>keine Klausur</v>
      </c>
      <c r="J340" s="44" t="n">
        <f aca="false">'DIM VZ u. dual BSc'!J27</f>
        <v>0</v>
      </c>
      <c r="K340" s="9" t="str">
        <f aca="false">'DIM VZ u. dual BSc'!K27</f>
        <v>Walter, Tobias, Herr Prof. Dr. (Prof) - 4.000 SWS</v>
      </c>
      <c r="L340" s="1" t="n">
        <f aca="false">'WR LLM'!L3</f>
        <v>0</v>
      </c>
      <c r="M340" s="1" t="n">
        <f aca="false">'WR LLM'!M3</f>
        <v>0</v>
      </c>
    </row>
    <row r="341" customFormat="false" ht="26.85" hidden="false" customHeight="false" outlineLevel="0" collapsed="false">
      <c r="A341" s="6" t="str">
        <f aca="false">'DIM VZ u. dual BSc'!A28</f>
        <v>20252</v>
      </c>
      <c r="B341" s="6" t="str">
        <f aca="false">'DIM VZ u. dual BSc'!B28</f>
        <v>D01/D08-2501</v>
      </c>
      <c r="C341" s="6" t="str">
        <f aca="false">'DIM VZ u. dual BSc'!C28</f>
        <v>Interactive Storytelling</v>
      </c>
      <c r="D341" s="6" t="n">
        <f aca="false">'DIM VZ u. dual BSc'!D28</f>
        <v>0</v>
      </c>
      <c r="E341" s="6" t="n">
        <f aca="false">'DIM VZ u. dual BSc'!E28</f>
        <v>0</v>
      </c>
      <c r="F341" s="6" t="n">
        <f aca="false">'DIM VZ u. dual BSc'!F28</f>
        <v>0</v>
      </c>
      <c r="G341" s="6" t="str">
        <f aca="false">'DIM VZ u. dual BSc'!G28</f>
        <v>keine Klausur (Prüfung ist mit dem Lehrenden abzustimmen)</v>
      </c>
      <c r="H341" s="8" t="str">
        <f aca="false">'DIM VZ u. dual BSc'!H28</f>
        <v>keine Klausur</v>
      </c>
      <c r="I341" s="6" t="str">
        <f aca="false">'DIM VZ u. dual BSc'!I28</f>
        <v>keine Klausur</v>
      </c>
      <c r="J341" s="44" t="n">
        <f aca="false">'DIM VZ u. dual BSc'!J28</f>
        <v>0</v>
      </c>
      <c r="K341" s="9" t="str">
        <f aca="false">'DIM VZ u. dual BSc'!K28</f>
        <v>Friederich, Jens, Herr (Ass) - 1.500 SWS;Rossner, Alexander, Herr (LKfbA) - 1.500 SWS</v>
      </c>
      <c r="L341" s="1" t="n">
        <f aca="false">'WR LLM'!L4</f>
        <v>0</v>
      </c>
      <c r="M341" s="1" t="n">
        <f aca="false">'WR LLM'!M4</f>
        <v>0</v>
      </c>
    </row>
    <row r="342" customFormat="false" ht="26.85" hidden="false" customHeight="false" outlineLevel="0" collapsed="false">
      <c r="A342" s="6" t="str">
        <f aca="false">'DIM VZ u. dual BSc'!A30</f>
        <v>20252</v>
      </c>
      <c r="B342" s="6" t="str">
        <f aca="false">'DIM VZ u. dual BSc'!B30</f>
        <v>D01/D08-2503</v>
      </c>
      <c r="C342" s="6" t="str">
        <f aca="false">'DIM VZ u. dual BSc'!C30</f>
        <v>Human Resource Management</v>
      </c>
      <c r="D342" s="6" t="n">
        <f aca="false">'DIM VZ u. dual BSc'!D30</f>
        <v>0</v>
      </c>
      <c r="E342" s="6" t="n">
        <f aca="false">'DIM VZ u. dual BSc'!E30</f>
        <v>0</v>
      </c>
      <c r="F342" s="6" t="n">
        <f aca="false">'DIM VZ u. dual BSc'!F30</f>
        <v>0</v>
      </c>
      <c r="G342" s="6" t="str">
        <f aca="false">'DIM VZ u. dual BSc'!G30</f>
        <v>keine Klausur (Prüfung ist mit dem Lehrenden abzustimmen)</v>
      </c>
      <c r="H342" s="8" t="str">
        <f aca="false">'DIM VZ u. dual BSc'!H30</f>
        <v>keine Klausur</v>
      </c>
      <c r="I342" s="6" t="str">
        <f aca="false">'DIM VZ u. dual BSc'!I30</f>
        <v>keine Klausur</v>
      </c>
      <c r="J342" s="44" t="n">
        <f aca="false">'DIM VZ u. dual BSc'!J30</f>
        <v>0</v>
      </c>
      <c r="K342" s="9" t="str">
        <f aca="false">'DIM VZ u. dual BSc'!K30</f>
        <v>Schweinitz, Amelie von, Frau (LBA) - 2.000 SWS;Christ, Michael, Herr Prof. Dr. (Prof) - 2.000 SWS</v>
      </c>
      <c r="L342" s="1" t="n">
        <f aca="false">'WR LLM'!L5</f>
        <v>0</v>
      </c>
      <c r="M342" s="1" t="n">
        <f aca="false">'WR LLM'!M5</f>
        <v>0</v>
      </c>
    </row>
    <row r="343" customFormat="false" ht="14.15" hidden="false" customHeight="false" outlineLevel="0" collapsed="false">
      <c r="A343" s="6" t="str">
        <f aca="false">'DIM VZ u. dual BSc'!A31</f>
        <v>20252</v>
      </c>
      <c r="B343" s="6" t="str">
        <f aca="false">'DIM VZ u. dual BSc'!B31</f>
        <v>D01/D08-2504</v>
      </c>
      <c r="C343" s="6" t="str">
        <f aca="false">'DIM VZ u. dual BSc'!C31</f>
        <v>E-Business</v>
      </c>
      <c r="D343" s="6" t="n">
        <f aca="false">'DIM VZ u. dual BSc'!D31</f>
        <v>0</v>
      </c>
      <c r="E343" s="6" t="n">
        <f aca="false">'DIM VZ u. dual BSc'!E31</f>
        <v>0</v>
      </c>
      <c r="F343" s="6" t="n">
        <f aca="false">'DIM VZ u. dual BSc'!F31</f>
        <v>0</v>
      </c>
      <c r="G343" s="6" t="str">
        <f aca="false">'DIM VZ u. dual BSc'!G31</f>
        <v>keine Klausur (Prüfung ist mit dem Lehrenden abzustimmen)</v>
      </c>
      <c r="H343" s="8" t="str">
        <f aca="false">'DIM VZ u. dual BSc'!H31</f>
        <v>keine Klausur</v>
      </c>
      <c r="I343" s="6" t="str">
        <f aca="false">'DIM VZ u. dual BSc'!I31</f>
        <v>keine Klausur</v>
      </c>
      <c r="J343" s="44" t="n">
        <f aca="false">'DIM VZ u. dual BSc'!J31</f>
        <v>0</v>
      </c>
      <c r="K343" s="9" t="str">
        <f aca="false">'DIM VZ u. dual BSc'!K31</f>
        <v>Pagel, Sven, Herr Prof. Dr. (Prof) - 4.000 SWS</v>
      </c>
      <c r="L343" s="1" t="n">
        <f aca="false">'WR LLM'!L6</f>
        <v>0</v>
      </c>
      <c r="M343" s="1" t="n">
        <f aca="false">'WR LLM'!M6</f>
        <v>0</v>
      </c>
    </row>
    <row r="344" customFormat="false" ht="26.85" hidden="false" customHeight="false" outlineLevel="0" collapsed="false">
      <c r="A344" s="6" t="str">
        <f aca="false">'DIM VZ u. dual BSc'!A32</f>
        <v>20252</v>
      </c>
      <c r="B344" s="6" t="str">
        <f aca="false">'DIM VZ u. dual BSc'!B32</f>
        <v>D01-2580</v>
      </c>
      <c r="C344" s="6" t="str">
        <f aca="false">'DIM VZ u. dual BSc'!C32</f>
        <v>Praxis-Modul</v>
      </c>
      <c r="D344" s="6" t="n">
        <f aca="false">'DIM VZ u. dual BSc'!D32</f>
        <v>0</v>
      </c>
      <c r="E344" s="6" t="n">
        <f aca="false">'DIM VZ u. dual BSc'!E32</f>
        <v>0</v>
      </c>
      <c r="F344" s="6" t="n">
        <f aca="false">'DIM VZ u. dual BSc'!F32</f>
        <v>0</v>
      </c>
      <c r="G344" s="6" t="str">
        <f aca="false">'DIM VZ u. dual BSc'!G32</f>
        <v>keine Klausur (Prüfung ist mit dem Lehrenden abzustimmen)</v>
      </c>
      <c r="H344" s="8" t="str">
        <f aca="false">'DIM VZ u. dual BSc'!H32</f>
        <v>keine Klausur</v>
      </c>
      <c r="I344" s="6" t="str">
        <f aca="false">'DIM VZ u. dual BSc'!I32</f>
        <v>keine Klausur</v>
      </c>
      <c r="J344" s="44" t="n">
        <f aca="false">'DIM VZ u. dual BSc'!J32</f>
        <v>0</v>
      </c>
      <c r="K344" s="9" t="str">
        <f aca="false">'DIM VZ u. dual BSc'!K32</f>
        <v>Pagel, Sven, Herr Prof. Dr. (Prof) - 4.000 SWS;Person, Kopie, Frau (ADMIN) - SWS</v>
      </c>
      <c r="L344" s="1" t="n">
        <f aca="false">'WR LLM'!L7</f>
        <v>0</v>
      </c>
      <c r="M344" s="1" t="n">
        <f aca="false">'WR LLM'!M7</f>
        <v>0</v>
      </c>
    </row>
    <row r="345" customFormat="false" ht="14.15" hidden="false" customHeight="false" outlineLevel="0" collapsed="false">
      <c r="A345" s="6" t="str">
        <f aca="false">'DIM VZ u. dual BSc'!A33</f>
        <v>20252</v>
      </c>
      <c r="B345" s="6" t="str">
        <f aca="false">'DIM VZ u. dual BSc'!B33</f>
        <v>D08-2580</v>
      </c>
      <c r="C345" s="6" t="str">
        <f aca="false">'DIM VZ u. dual BSc'!C33</f>
        <v>Praxis-Modul</v>
      </c>
      <c r="D345" s="6" t="n">
        <f aca="false">'DIM VZ u. dual BSc'!D33</f>
        <v>0</v>
      </c>
      <c r="E345" s="6" t="n">
        <f aca="false">'DIM VZ u. dual BSc'!E33</f>
        <v>0</v>
      </c>
      <c r="F345" s="6" t="n">
        <f aca="false">'DIM VZ u. dual BSc'!F33</f>
        <v>0</v>
      </c>
      <c r="G345" s="6" t="str">
        <f aca="false">'DIM VZ u. dual BSc'!G33</f>
        <v>keine Klausur (Prüfung ist mit dem Lehrenden abzustimmen)</v>
      </c>
      <c r="H345" s="8" t="str">
        <f aca="false">'DIM VZ u. dual BSc'!H33</f>
        <v>keine Klausur</v>
      </c>
      <c r="I345" s="6" t="str">
        <f aca="false">'DIM VZ u. dual BSc'!I33</f>
        <v>keine Klausur</v>
      </c>
      <c r="J345" s="44" t="n">
        <f aca="false">'DIM VZ u. dual BSc'!J33</f>
        <v>0</v>
      </c>
      <c r="K345" s="9" t="str">
        <f aca="false">'DIM VZ u. dual BSc'!K33</f>
        <v>Ostheimer, Bernhard, Herr Prof. Dr. (Prof) - 4.000 SWS</v>
      </c>
      <c r="L345" s="1" t="n">
        <f aca="false">'WR LLM'!L8</f>
        <v>0</v>
      </c>
      <c r="M345" s="1" t="n">
        <f aca="false">'WR LLM'!M8</f>
        <v>0</v>
      </c>
    </row>
    <row r="346" customFormat="false" ht="26.85" hidden="false" customHeight="false" outlineLevel="0" collapsed="false">
      <c r="A346" s="6" t="str">
        <f aca="false">'DIM VZ u. dual BSc'!A36</f>
        <v>w</v>
      </c>
      <c r="B346" s="6" t="str">
        <f aca="false">'DIM VZ u. dual BSc'!B36</f>
        <v>D01/D08-2603</v>
      </c>
      <c r="C346" s="6" t="str">
        <f aca="false">'DIM VZ u. dual BSc'!C36</f>
        <v>Unternehmensführung (inkl. Business Planning)</v>
      </c>
      <c r="D346" s="6" t="n">
        <f aca="false">'DIM VZ u. dual BSc'!D36</f>
        <v>0</v>
      </c>
      <c r="E346" s="6" t="n">
        <f aca="false">'DIM VZ u. dual BSc'!E36</f>
        <v>0</v>
      </c>
      <c r="F346" s="6" t="n">
        <f aca="false">'DIM VZ u. dual BSc'!F36</f>
        <v>0</v>
      </c>
      <c r="G346" s="6" t="str">
        <f aca="false">'DIM VZ u. dual BSc'!G36</f>
        <v>keine Klausur (Prüfung ist mit dem Lehrenden abzustimmen)</v>
      </c>
      <c r="H346" s="8" t="str">
        <f aca="false">'DIM VZ u. dual BSc'!H36</f>
        <v>keine Klausur</v>
      </c>
      <c r="I346" s="6" t="str">
        <f aca="false">'DIM VZ u. dual BSc'!I36</f>
        <v>keine Klausur</v>
      </c>
      <c r="J346" s="8" t="n">
        <f aca="false">'DIM VZ u. dual BSc'!J36</f>
        <v>0</v>
      </c>
      <c r="K346" s="9" t="str">
        <f aca="false">'DIM VZ u. dual BSc'!K36</f>
        <v>Hauck, Marcel, Herr Dr. (Prof) - 1.500 SWS;Ostheimer, Bernhard, Herr Prof. Dr. (Prof) - 1.500 SWS</v>
      </c>
      <c r="L346" s="1" t="n">
        <f aca="false">'WR LLM'!L9</f>
        <v>0</v>
      </c>
      <c r="M346" s="1" t="n">
        <f aca="false">'WR LLM'!M9</f>
        <v>0</v>
      </c>
    </row>
    <row r="347" customFormat="false" ht="14.15" hidden="false" customHeight="false" outlineLevel="0" collapsed="false">
      <c r="A347" s="6" t="str">
        <f aca="false">'DIM VZ u. dual BSc'!A37</f>
        <v>w</v>
      </c>
      <c r="B347" s="6" t="str">
        <f aca="false">'DIM VZ u. dual BSc'!B37</f>
        <v>D01/D08-2604</v>
      </c>
      <c r="C347" s="6" t="str">
        <f aca="false">'DIM VZ u. dual BSc'!C37</f>
        <v>Management digitaler Produkte</v>
      </c>
      <c r="D347" s="6" t="n">
        <f aca="false">'DIM VZ u. dual BSc'!D37</f>
        <v>0</v>
      </c>
      <c r="E347" s="6" t="n">
        <f aca="false">'DIM VZ u. dual BSc'!E37</f>
        <v>0</v>
      </c>
      <c r="F347" s="6" t="n">
        <f aca="false">'DIM VZ u. dual BSc'!F37</f>
        <v>0</v>
      </c>
      <c r="G347" s="6" t="str">
        <f aca="false">'DIM VZ u. dual BSc'!G37</f>
        <v>keine Klausur (Prüfung ist mit dem Lehrenden abzustimmen)</v>
      </c>
      <c r="H347" s="8" t="str">
        <f aca="false">'DIM VZ u. dual BSc'!H37</f>
        <v>keine Klausur</v>
      </c>
      <c r="I347" s="6" t="str">
        <f aca="false">'DIM VZ u. dual BSc'!I37</f>
        <v>keine Klausur</v>
      </c>
      <c r="J347" s="8" t="n">
        <f aca="false">'DIM VZ u. dual BSc'!J37</f>
        <v>0</v>
      </c>
      <c r="K347" s="9" t="str">
        <f aca="false">'DIM VZ u. dual BSc'!K37</f>
        <v>Pagel, Sven, Herr Prof. Dr. (Prof) - 3.000 SWS</v>
      </c>
      <c r="L347" s="1" t="n">
        <f aca="false">'WR LLM'!L10</f>
        <v>0</v>
      </c>
      <c r="M347" s="1" t="n">
        <f aca="false">'WR LLM'!M10</f>
        <v>0</v>
      </c>
    </row>
    <row r="348" customFormat="false" ht="14.15" hidden="false" customHeight="false" outlineLevel="0" collapsed="false">
      <c r="A348" s="6" t="str">
        <f aca="false">Optionen!A9</f>
        <v>20252</v>
      </c>
      <c r="B348" s="6" t="str">
        <f aca="false">Optionen!B9</f>
        <v>000-66804</v>
      </c>
      <c r="C348" s="9" t="str">
        <f aca="false">Optionen!C9</f>
        <v>Bootcamp - Verhandlungsführung/Kommunikation/Präsentation</v>
      </c>
      <c r="D348" s="6" t="n">
        <f aca="false">Optionen!D9</f>
        <v>0</v>
      </c>
      <c r="E348" s="6" t="n">
        <f aca="false">Optionen!E9</f>
        <v>0</v>
      </c>
      <c r="F348" s="6" t="n">
        <f aca="false">Optionen!F9</f>
        <v>0</v>
      </c>
      <c r="G348" s="6" t="str">
        <f aca="false">Optionen!G9</f>
        <v>keine Klausur (Prüfung ist mit dem Lehrenden abzustimmen)</v>
      </c>
      <c r="H348" s="8" t="str">
        <f aca="false">Optionen!H9</f>
        <v>keine Klausur</v>
      </c>
      <c r="I348" s="6" t="str">
        <f aca="false">Optionen!I9</f>
        <v>keine Klausur</v>
      </c>
      <c r="J348" s="6" t="n">
        <f aca="false">Optionen!J9</f>
        <v>0</v>
      </c>
      <c r="K348" s="9" t="str">
        <f aca="false">Optionen!K9</f>
        <v>Nerenberg, Colin, Herr (LKfbA) - 4.000 SWS</v>
      </c>
      <c r="L348" s="1" t="n">
        <f aca="false">'WR LLM'!L11</f>
        <v>0</v>
      </c>
      <c r="M348" s="1" t="n">
        <f aca="false">'WR LLM'!M11</f>
        <v>0</v>
      </c>
    </row>
    <row r="349" customFormat="false" ht="26.85" hidden="false" customHeight="false" outlineLevel="0" collapsed="false">
      <c r="A349" s="6" t="str">
        <f aca="false">Optionen!A13</f>
        <v>20252</v>
      </c>
      <c r="B349" s="6" t="str">
        <f aca="false">Optionen!B13</f>
        <v>000-66802</v>
      </c>
      <c r="C349" s="9" t="str">
        <f aca="false">Optionen!C13</f>
        <v>Comprehensive Management of Biopharmaceutical Innovations and Strategies</v>
      </c>
      <c r="D349" s="6" t="n">
        <f aca="false">Optionen!D13</f>
        <v>0</v>
      </c>
      <c r="E349" s="6" t="n">
        <f aca="false">Optionen!E13</f>
        <v>0</v>
      </c>
      <c r="F349" s="6" t="n">
        <f aca="false">Optionen!F13</f>
        <v>0</v>
      </c>
      <c r="G349" s="6" t="str">
        <f aca="false">Optionen!G13</f>
        <v>keine Klausur (Prüfung ist mit dem Lehrenden abzustimmen)</v>
      </c>
      <c r="H349" s="8" t="str">
        <f aca="false">Optionen!H13</f>
        <v>keine Klausur</v>
      </c>
      <c r="I349" s="6" t="str">
        <f aca="false">Optionen!I13</f>
        <v>keine Klausur</v>
      </c>
      <c r="J349" s="6" t="n">
        <f aca="false">Optionen!J13</f>
        <v>0</v>
      </c>
      <c r="K349" s="9" t="str">
        <f aca="false">Optionen!K13</f>
        <v>Schäfer, Christian, Herr Prof. Dr. (Prof) - 4.000 SWS</v>
      </c>
      <c r="L349" s="1" t="n">
        <f aca="false">'WR LLM'!L12</f>
        <v>0</v>
      </c>
      <c r="M349" s="1" t="n">
        <f aca="false">'WR LLM'!M12</f>
        <v>0</v>
      </c>
    </row>
    <row r="350" customFormat="false" ht="14.15" hidden="false" customHeight="false" outlineLevel="0" collapsed="false">
      <c r="A350" s="6" t="str">
        <f aca="false">Optionen!A15</f>
        <v>20251</v>
      </c>
      <c r="B350" s="6" t="str">
        <f aca="false">Optionen!B15</f>
        <v>000-11062</v>
      </c>
      <c r="C350" s="6" t="str">
        <f aca="false">Optionen!C15</f>
        <v>Creating Shared Value</v>
      </c>
      <c r="D350" s="6" t="n">
        <f aca="false">Optionen!D15</f>
        <v>0</v>
      </c>
      <c r="E350" s="6" t="n">
        <f aca="false">Optionen!E15</f>
        <v>0</v>
      </c>
      <c r="F350" s="6" t="n">
        <f aca="false">Optionen!F15</f>
        <v>0</v>
      </c>
      <c r="G350" s="6" t="str">
        <f aca="false">Optionen!G15</f>
        <v>keine Klausur (Prüfung ist mit dem Lehrenden abzustimmen)</v>
      </c>
      <c r="H350" s="8" t="str">
        <f aca="false">Optionen!H15</f>
        <v>keine Klausur</v>
      </c>
      <c r="I350" s="6" t="str">
        <f aca="false">Optionen!I15</f>
        <v>keine Klausur</v>
      </c>
      <c r="J350" s="6" t="n">
        <f aca="false">Optionen!J15</f>
        <v>0</v>
      </c>
      <c r="K350" s="9" t="str">
        <f aca="false">Optionen!K15</f>
        <v>Hensel, Claudia, Frau Prof. Dr. (Prof) - 4.000 SWS</v>
      </c>
      <c r="L350" s="1" t="n">
        <f aca="false">'WR LLM'!L13</f>
        <v>0</v>
      </c>
      <c r="M350" s="1" t="n">
        <f aca="false">'WR LLM'!M13</f>
        <v>0</v>
      </c>
    </row>
    <row r="351" customFormat="false" ht="52.2" hidden="false" customHeight="false" outlineLevel="0" collapsed="false">
      <c r="A351" s="6" t="str">
        <f aca="false">Optionen!A18</f>
        <v>w</v>
      </c>
      <c r="B351" s="6" t="str">
        <f aca="false">Optionen!B18</f>
        <v>000-12048</v>
      </c>
      <c r="C351" s="6" t="str">
        <f aca="false">Optionen!C18</f>
        <v>Data Literacy</v>
      </c>
      <c r="D351" s="6" t="n">
        <f aca="false">Optionen!D18</f>
        <v>0</v>
      </c>
      <c r="E351" s="6" t="n">
        <f aca="false">Optionen!E18</f>
        <v>0</v>
      </c>
      <c r="F351" s="6" t="n">
        <f aca="false">Optionen!F18</f>
        <v>0</v>
      </c>
      <c r="G351" s="6" t="str">
        <f aca="false">Optionen!G18</f>
        <v>keine Klausur (Prüfung ist mit dem Lehrenden abzustimmen)</v>
      </c>
      <c r="H351" s="8" t="str">
        <f aca="false">Optionen!H18</f>
        <v>keine Klausur</v>
      </c>
      <c r="I351" s="6" t="str">
        <f aca="false">Optionen!I18</f>
        <v>keine Klausur</v>
      </c>
      <c r="J351" s="6" t="n">
        <f aca="false">Optionen!J18</f>
        <v>0</v>
      </c>
      <c r="K351" s="9" t="str">
        <f aca="false"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51" s="1" t="n">
        <f aca="false">'WR LLM'!L14</f>
        <v>0</v>
      </c>
      <c r="M351" s="1" t="n">
        <f aca="false">'WR LLM'!M14</f>
        <v>0</v>
      </c>
    </row>
    <row r="352" customFormat="false" ht="26.85" hidden="false" customHeight="false" outlineLevel="0" collapsed="false">
      <c r="A352" s="6" t="str">
        <f aca="false">Optionen!A19</f>
        <v>w</v>
      </c>
      <c r="B352" s="6" t="str">
        <f aca="false">Optionen!B19</f>
        <v>000-12047</v>
      </c>
      <c r="C352" s="6" t="str">
        <f aca="false">Optionen!C19</f>
        <v>Digitale Bildbearbeitung</v>
      </c>
      <c r="D352" s="6" t="n">
        <f aca="false">Optionen!D19</f>
        <v>0</v>
      </c>
      <c r="E352" s="6" t="n">
        <f aca="false">Optionen!E19</f>
        <v>0</v>
      </c>
      <c r="F352" s="6" t="n">
        <f aca="false">Optionen!F19</f>
        <v>0</v>
      </c>
      <c r="G352" s="6" t="str">
        <f aca="false">Optionen!G19</f>
        <v>keine Klausur (Prüfung ist mit dem Lehrenden abzustimmen)</v>
      </c>
      <c r="H352" s="8" t="str">
        <f aca="false">Optionen!H19</f>
        <v>keine Klausur</v>
      </c>
      <c r="I352" s="6" t="str">
        <f aca="false">Optionen!I19</f>
        <v>keine Klausur</v>
      </c>
      <c r="J352" s="6" t="n">
        <f aca="false">Optionen!J19</f>
        <v>0</v>
      </c>
      <c r="K352" s="9" t="str">
        <f aca="false">Optionen!K19</f>
        <v>Rossner, Alexander, Herr (LKfbA) - 2.000 SWS;Friederich, Jens, Herr (Ass) - 2.000 SWS</v>
      </c>
      <c r="L352" s="1" t="n">
        <f aca="false">'WR LLM'!L15</f>
        <v>0</v>
      </c>
      <c r="M352" s="1" t="n">
        <f aca="false">'WR LLM'!M15</f>
        <v>0</v>
      </c>
    </row>
    <row r="353" customFormat="false" ht="14.15" hidden="false" customHeight="false" outlineLevel="0" collapsed="false">
      <c r="A353" s="6" t="str">
        <f aca="false">Optionen!A20</f>
        <v>w</v>
      </c>
      <c r="B353" s="6" t="str">
        <f aca="false">Optionen!B20</f>
        <v>000-12046</v>
      </c>
      <c r="C353" s="6" t="str">
        <f aca="false">Optionen!C20</f>
        <v>Datenjournalismus und -visualisierung</v>
      </c>
      <c r="D353" s="6" t="n">
        <f aca="false">Optionen!D20</f>
        <v>0</v>
      </c>
      <c r="E353" s="6" t="n">
        <f aca="false">Optionen!E20</f>
        <v>0</v>
      </c>
      <c r="F353" s="6" t="n">
        <f aca="false">Optionen!F20</f>
        <v>0</v>
      </c>
      <c r="G353" s="6" t="str">
        <f aca="false">Optionen!G20</f>
        <v>keine Klausur (Prüfung ist mit dem Lehrenden abzustimmen)</v>
      </c>
      <c r="H353" s="8" t="str">
        <f aca="false">Optionen!H20</f>
        <v>keine Klausur</v>
      </c>
      <c r="I353" s="6" t="str">
        <f aca="false">Optionen!I20</f>
        <v>keine Klausur</v>
      </c>
      <c r="J353" s="6" t="n">
        <f aca="false">Optionen!J20</f>
        <v>0</v>
      </c>
      <c r="K353" s="9" t="str">
        <f aca="false">Optionen!K20</f>
        <v>Eggers, Jan, Herr (LBA) - 4.000 SWS</v>
      </c>
    </row>
    <row r="354" customFormat="false" ht="14.15" hidden="false" customHeight="false" outlineLevel="0" collapsed="false">
      <c r="A354" s="6" t="str">
        <f aca="false">Optionen!A22</f>
        <v>20252</v>
      </c>
      <c r="B354" s="6" t="str">
        <f aca="false">Optionen!B22</f>
        <v>000-13017</v>
      </c>
      <c r="C354" s="6" t="str">
        <f aca="false">Optionen!C22</f>
        <v>Entrepreneurship</v>
      </c>
      <c r="D354" s="6" t="n">
        <f aca="false">Optionen!D22</f>
        <v>0</v>
      </c>
      <c r="E354" s="6" t="n">
        <f aca="false">Optionen!E22</f>
        <v>0</v>
      </c>
      <c r="F354" s="6" t="n">
        <f aca="false">Optionen!F22</f>
        <v>0</v>
      </c>
      <c r="G354" s="6" t="str">
        <f aca="false">Optionen!G22</f>
        <v>keine Klausur (Prüfung ist mit dem Lehrenden abzustimmen)</v>
      </c>
      <c r="H354" s="8" t="str">
        <f aca="false">Optionen!H22</f>
        <v>keine Klausur</v>
      </c>
      <c r="I354" s="6" t="str">
        <f aca="false">Optionen!I22</f>
        <v>keine Klausur</v>
      </c>
      <c r="J354" s="6" t="n">
        <f aca="false">Optionen!J22</f>
        <v>0</v>
      </c>
      <c r="K354" s="9" t="str">
        <f aca="false">Optionen!K22</f>
        <v>Konrad, Elmar, Herr Prof. Dr. (Prof) - 4.000 SWS</v>
      </c>
      <c r="L354" s="1" t="n">
        <f aca="false">'WR LLM'!L16</f>
        <v>0</v>
      </c>
      <c r="M354" s="1" t="n">
        <f aca="false">'WR LLM'!M16</f>
        <v>0</v>
      </c>
    </row>
    <row r="355" customFormat="false" ht="14.15" hidden="false" customHeight="false" outlineLevel="0" collapsed="false">
      <c r="A355" s="6" t="str">
        <f aca="false">Optionen!A23</f>
        <v>20252</v>
      </c>
      <c r="B355" s="6" t="str">
        <f aca="false">Optionen!B23</f>
        <v>000-13047</v>
      </c>
      <c r="C355" s="9" t="str">
        <f aca="false">Optionen!C23</f>
        <v>Ethical Hacking</v>
      </c>
      <c r="D355" s="6" t="n">
        <f aca="false">Optionen!D23</f>
        <v>0</v>
      </c>
      <c r="E355" s="6" t="n">
        <f aca="false">Optionen!E23</f>
        <v>0</v>
      </c>
      <c r="F355" s="6" t="n">
        <f aca="false">Optionen!F23</f>
        <v>0</v>
      </c>
      <c r="G355" s="6" t="str">
        <f aca="false">Optionen!G23</f>
        <v>keine Klausur (Prüfung ist mit dem Lehrenden abzustimmen)</v>
      </c>
      <c r="H355" s="8" t="str">
        <f aca="false">Optionen!H23</f>
        <v>keine Klausur</v>
      </c>
      <c r="I355" s="6" t="str">
        <f aca="false">Optionen!I23</f>
        <v>keine Klausur</v>
      </c>
      <c r="J355" s="6" t="n">
        <f aca="false">Optionen!J23</f>
        <v>0</v>
      </c>
      <c r="K355" s="9" t="str">
        <f aca="false">Optionen!K23</f>
        <v>Nauroth, Markus, Herr Prof. Dr. (Prof) - 4.000 SWS</v>
      </c>
      <c r="L355" s="1" t="n">
        <f aca="false">'Management MSc'!L2</f>
        <v>0</v>
      </c>
      <c r="M355" s="1" t="n">
        <f aca="false">'Management MSc'!M2</f>
        <v>0</v>
      </c>
    </row>
    <row r="356" customFormat="false" ht="14.15" hidden="false" customHeight="false" outlineLevel="0" collapsed="false">
      <c r="A356" s="6" t="str">
        <f aca="false">Optionen!A24</f>
        <v>w</v>
      </c>
      <c r="B356" s="6" t="str">
        <f aca="false">Optionen!B24</f>
        <v>000-14006</v>
      </c>
      <c r="C356" s="9" t="str">
        <f aca="false">Optionen!C24</f>
        <v>Führung, Personal- und Organisationsentwicklung</v>
      </c>
      <c r="D356" s="6" t="n">
        <f aca="false">Optionen!D24</f>
        <v>0</v>
      </c>
      <c r="E356" s="6" t="n">
        <f aca="false">Optionen!E24</f>
        <v>0</v>
      </c>
      <c r="F356" s="6" t="n">
        <f aca="false">Optionen!F24</f>
        <v>0</v>
      </c>
      <c r="G356" s="6" t="str">
        <f aca="false">Optionen!G24</f>
        <v>keine Klausur (Prüfung ist mit dem Lehrenden abzustimmen)</v>
      </c>
      <c r="H356" s="8" t="str">
        <f aca="false">Optionen!H24</f>
        <v>keine Klausur</v>
      </c>
      <c r="I356" s="6" t="str">
        <f aca="false">Optionen!I24</f>
        <v>keine Klausur</v>
      </c>
      <c r="J356" s="6" t="n">
        <f aca="false">Optionen!J24</f>
        <v>0</v>
      </c>
      <c r="K356" s="9" t="str">
        <f aca="false">Optionen!K24</f>
        <v>Rank, Susanne, Frau Prof. Dr. (Prof) - 4.000 SWS</v>
      </c>
      <c r="L356" s="1" t="n">
        <f aca="false">'Management MSc'!L3</f>
        <v>0</v>
      </c>
      <c r="M356" s="1" t="n">
        <f aca="false">'Management MSc'!M3</f>
        <v>0</v>
      </c>
    </row>
    <row r="357" customFormat="false" ht="26.85" hidden="false" customHeight="false" outlineLevel="0" collapsed="false">
      <c r="A357" s="6" t="str">
        <f aca="false">Optionen!A27</f>
        <v>20252</v>
      </c>
      <c r="B357" s="6" t="str">
        <f aca="false">Optionen!B27</f>
        <v>000-66805</v>
      </c>
      <c r="C357" s="9" t="str">
        <f aca="false">Optionen!C27</f>
        <v>Global and international Business: Exploring Innovation</v>
      </c>
      <c r="D357" s="6" t="n">
        <f aca="false">Optionen!D27</f>
        <v>0</v>
      </c>
      <c r="E357" s="6" t="n">
        <f aca="false">Optionen!E27</f>
        <v>0</v>
      </c>
      <c r="F357" s="6" t="n">
        <f aca="false">Optionen!F27</f>
        <v>0</v>
      </c>
      <c r="G357" s="6" t="str">
        <f aca="false">Optionen!G27</f>
        <v>keine Klausur (Prüfung ist mit dem Lehrenden abzustimmen)</v>
      </c>
      <c r="H357" s="8" t="str">
        <f aca="false">Optionen!H27</f>
        <v>keine Klausur</v>
      </c>
      <c r="I357" s="6" t="str">
        <f aca="false">Optionen!I27</f>
        <v>keine Klausur</v>
      </c>
      <c r="J357" s="6" t="n">
        <f aca="false">Optionen!J27</f>
        <v>0</v>
      </c>
      <c r="K357" s="9" t="str">
        <f aca="false">Optionen!K27</f>
        <v>Yilmaz, Rabia, Frau (LBA) - 2.000 SWS;Colpa, Aida, Frau (Ass) - 2.000 SWS</v>
      </c>
      <c r="L357" s="1" t="n">
        <f aca="false">'Management MSc'!L4</f>
        <v>0</v>
      </c>
      <c r="M357" s="1" t="n">
        <f aca="false">'Management MSc'!M4</f>
        <v>0</v>
      </c>
    </row>
    <row r="358" customFormat="false" ht="14.15" hidden="false" customHeight="false" outlineLevel="0" collapsed="false">
      <c r="A358" s="6" t="str">
        <f aca="false">Optionen!A28</f>
        <v>w</v>
      </c>
      <c r="B358" s="6" t="str">
        <f aca="false">Optionen!B28</f>
        <v>000-17080</v>
      </c>
      <c r="C358" s="9" t="str">
        <f aca="false">Optionen!C28</f>
        <v>Innovative Geschäftsmodelle und Technologien in digitalen Medien</v>
      </c>
      <c r="D358" s="6" t="n">
        <f aca="false">Optionen!D28</f>
        <v>0</v>
      </c>
      <c r="E358" s="6" t="n">
        <f aca="false">Optionen!E28</f>
        <v>0</v>
      </c>
      <c r="F358" s="6" t="n">
        <f aca="false">Optionen!F28</f>
        <v>0</v>
      </c>
      <c r="G358" s="6" t="str">
        <f aca="false">Optionen!G28</f>
        <v>keine Klausur (Prüfung ist mit dem Lehrenden abzustimmen)</v>
      </c>
      <c r="H358" s="8" t="str">
        <f aca="false">Optionen!H28</f>
        <v>keine Klausur</v>
      </c>
      <c r="I358" s="6" t="str">
        <f aca="false">Optionen!I28</f>
        <v>keine Klausur</v>
      </c>
      <c r="J358" s="6" t="n">
        <f aca="false">Optionen!J28</f>
        <v>0</v>
      </c>
      <c r="K358" s="9" t="str">
        <f aca="false">Optionen!K28</f>
        <v>Ostheimer, Bernhard, Herr Prof. Dr. (Prof) - 3.000 SWS</v>
      </c>
      <c r="L358" s="1" t="n">
        <f aca="false">'Management MSc'!L5</f>
        <v>0</v>
      </c>
      <c r="M358" s="1" t="n">
        <f aca="false">'Management MSc'!M5</f>
        <v>0</v>
      </c>
    </row>
    <row r="359" customFormat="false" ht="14.15" hidden="false" customHeight="false" outlineLevel="0" collapsed="false">
      <c r="A359" s="6" t="str">
        <f aca="false">Optionen!A31</f>
        <v>20252</v>
      </c>
      <c r="B359" s="6" t="str">
        <f aca="false">Optionen!B31</f>
        <v>000-17041</v>
      </c>
      <c r="C359" s="6" t="str">
        <f aca="false">Optionen!C31</f>
        <v>Internationale Klima- und Umweltpolitik</v>
      </c>
      <c r="D359" s="6" t="n">
        <f aca="false">Optionen!D31</f>
        <v>0</v>
      </c>
      <c r="E359" s="6" t="n">
        <f aca="false">Optionen!E31</f>
        <v>0</v>
      </c>
      <c r="F359" s="6" t="n">
        <f aca="false">Optionen!F31</f>
        <v>0</v>
      </c>
      <c r="G359" s="6" t="str">
        <f aca="false">Optionen!G31</f>
        <v>keine Klausur (Prüfung ist mit dem Lehrenden abzustimmen)</v>
      </c>
      <c r="H359" s="8" t="str">
        <f aca="false">Optionen!H31</f>
        <v>keine Klausur</v>
      </c>
      <c r="I359" s="6" t="str">
        <f aca="false">Optionen!I31</f>
        <v>keine Klausur</v>
      </c>
      <c r="J359" s="6" t="n">
        <f aca="false">Optionen!J31</f>
        <v>0</v>
      </c>
      <c r="K359" s="9" t="str">
        <f aca="false">Optionen!K31</f>
        <v>Bartels, Bernhard, Herr Prof. Dr. (Prof) - 4.000 SWS</v>
      </c>
    </row>
    <row r="360" customFormat="false" ht="14.15" hidden="false" customHeight="false" outlineLevel="0" collapsed="false">
      <c r="A360" s="6" t="str">
        <f aca="false">Optionen!A33</f>
        <v>20252</v>
      </c>
      <c r="B360" s="6" t="str">
        <f aca="false">Optionen!B33</f>
        <v>000-19016</v>
      </c>
      <c r="C360" s="6" t="str">
        <f aca="false">Optionen!C33</f>
        <v>Logistics &amp; Supply Chain Management</v>
      </c>
      <c r="D360" s="6" t="n">
        <f aca="false">Optionen!D33</f>
        <v>0</v>
      </c>
      <c r="E360" s="6" t="n">
        <f aca="false">Optionen!E33</f>
        <v>0</v>
      </c>
      <c r="F360" s="6" t="n">
        <f aca="false">Optionen!F33</f>
        <v>0</v>
      </c>
      <c r="G360" s="6" t="str">
        <f aca="false">Optionen!G33</f>
        <v>keine Klausur (Prüfung ist mit dem Lehrenden abzustimmen)</v>
      </c>
      <c r="H360" s="8" t="str">
        <f aca="false">Optionen!H33</f>
        <v>keine Klausur</v>
      </c>
      <c r="I360" s="6" t="str">
        <f aca="false">Optionen!I33</f>
        <v>keine Klausur</v>
      </c>
      <c r="J360" s="6" t="n">
        <f aca="false">Optionen!J33</f>
        <v>0</v>
      </c>
      <c r="K360" s="9" t="str">
        <f aca="false">Optionen!K33</f>
        <v>Berbner, Ulrich, Herr Prof. Dr. (Prof) - 4.000 SWS</v>
      </c>
      <c r="L360" s="1" t="n">
        <f aca="false">'Management MSc'!L6</f>
        <v>0</v>
      </c>
      <c r="M360" s="1" t="n">
        <f aca="false">'Management MSc'!M6</f>
        <v>0</v>
      </c>
    </row>
    <row r="361" customFormat="false" ht="14.15" hidden="false" customHeight="false" outlineLevel="0" collapsed="false">
      <c r="A361" s="6" t="str">
        <f aca="false">Optionen!A34</f>
        <v>w</v>
      </c>
      <c r="B361" s="6" t="str">
        <f aca="false">Optionen!B34</f>
        <v>000-20068</v>
      </c>
      <c r="C361" s="6" t="str">
        <f aca="false">Optionen!C34</f>
        <v>Marketing Analytics</v>
      </c>
      <c r="D361" s="6" t="n">
        <f aca="false">Optionen!D34</f>
        <v>0</v>
      </c>
      <c r="E361" s="6" t="n">
        <f aca="false">Optionen!E34</f>
        <v>1</v>
      </c>
      <c r="F361" s="6" t="n">
        <f aca="false">Optionen!F34</f>
        <v>0</v>
      </c>
      <c r="G361" s="6" t="str">
        <f aca="false">Optionen!G34</f>
        <v>keine Klausur (Prüfung ist mit dem Lehrenden abzustimmen)</v>
      </c>
      <c r="H361" s="8" t="str">
        <f aca="false">Optionen!H34</f>
        <v>keine Klausur</v>
      </c>
      <c r="I361" s="6" t="str">
        <f aca="false">Optionen!I34</f>
        <v>keine Klausur</v>
      </c>
      <c r="J361" s="6" t="n">
        <f aca="false">Optionen!J34</f>
        <v>0</v>
      </c>
      <c r="K361" s="9" t="str">
        <f aca="false">Optionen!K34</f>
        <v>Kostyra, Daniel, Herr Prof. Dr. (LBA) - 4.000 SWS</v>
      </c>
      <c r="L361" s="1" t="n">
        <f aca="false">'Management MSc'!L7</f>
        <v>0</v>
      </c>
      <c r="M361" s="1" t="n">
        <f aca="false">'Management MSc'!M7</f>
        <v>0</v>
      </c>
    </row>
    <row r="362" customFormat="false" ht="26.85" hidden="false" customHeight="false" outlineLevel="0" collapsed="false">
      <c r="A362" s="6" t="str">
        <f aca="false">Optionen!A35</f>
        <v>w</v>
      </c>
      <c r="B362" s="6" t="str">
        <f aca="false">Optionen!B35</f>
        <v>000-20070</v>
      </c>
      <c r="C362" s="6" t="str">
        <f aca="false">Optionen!C35</f>
        <v>Maschinelles Lernen mit Python</v>
      </c>
      <c r="D362" s="6" t="n">
        <f aca="false">Optionen!D35</f>
        <v>0</v>
      </c>
      <c r="E362" s="6" t="n">
        <f aca="false">Optionen!E35</f>
        <v>0</v>
      </c>
      <c r="F362" s="6" t="n">
        <f aca="false">Optionen!F35</f>
        <v>0</v>
      </c>
      <c r="G362" s="6" t="str">
        <f aca="false">Optionen!G35</f>
        <v>keine Klausur (Prüfung ist mit dem Lehrenden abzustimmen)</v>
      </c>
      <c r="H362" s="8" t="str">
        <f aca="false">Optionen!H35</f>
        <v>keine Klausur</v>
      </c>
      <c r="I362" s="6" t="str">
        <f aca="false">Optionen!I35</f>
        <v>keine Klausur</v>
      </c>
      <c r="J362" s="6" t="n">
        <f aca="false">Optionen!J35</f>
        <v>0</v>
      </c>
      <c r="K362" s="9" t="str">
        <f aca="false">Optionen!K35</f>
        <v>Huschens, Martin, Herr Prof. Dr. (Prof) - 2.000 SWS;Schweim, Dirk, Herr Prof. Dr. (Prof) - 2.000 SWS</v>
      </c>
      <c r="L362" s="1" t="n">
        <f aca="false">'Management MSc'!L8</f>
        <v>0</v>
      </c>
      <c r="M362" s="1" t="n">
        <f aca="false">'Management MSc'!M8</f>
        <v>0</v>
      </c>
    </row>
    <row r="363" customFormat="false" ht="14.15" hidden="false" customHeight="false" outlineLevel="0" collapsed="false">
      <c r="A363" s="6" t="str">
        <f aca="false">Optionen!A36</f>
        <v>w</v>
      </c>
      <c r="B363" s="6" t="str">
        <f aca="false">Optionen!B36</f>
        <v>000-23054</v>
      </c>
      <c r="C363" s="6" t="str">
        <f aca="false">Optionen!C36</f>
        <v>Projektstudie Personalmanagement</v>
      </c>
      <c r="D363" s="6" t="n">
        <f aca="false">Optionen!D36</f>
        <v>0</v>
      </c>
      <c r="E363" s="6" t="n">
        <f aca="false">Optionen!E36</f>
        <v>0</v>
      </c>
      <c r="F363" s="6" t="n">
        <f aca="false">Optionen!F36</f>
        <v>0</v>
      </c>
      <c r="G363" s="6" t="str">
        <f aca="false">Optionen!G36</f>
        <v>keine Klausur (Prüfung ist mit dem Lehrenden abzustimmen)</v>
      </c>
      <c r="H363" s="8" t="str">
        <f aca="false">Optionen!H36</f>
        <v>keine Klausur</v>
      </c>
      <c r="I363" s="6" t="str">
        <f aca="false">Optionen!I36</f>
        <v>keine Klausur</v>
      </c>
      <c r="J363" s="6" t="n">
        <f aca="false">Optionen!J36</f>
        <v>0</v>
      </c>
      <c r="K363" s="9" t="str">
        <f aca="false">Optionen!K36</f>
        <v>Rohleder, Norbert, Herr Prof. Dr. (Prof) - 4.000 SWS</v>
      </c>
      <c r="L363" s="1" t="n">
        <f aca="false">'Management MSc'!L9</f>
        <v>0</v>
      </c>
      <c r="M363" s="1" t="n">
        <f aca="false">'Management MSc'!M9</f>
        <v>0</v>
      </c>
    </row>
    <row r="364" customFormat="false" ht="14.15" hidden="false" customHeight="false" outlineLevel="0" collapsed="false">
      <c r="A364" s="6" t="str">
        <f aca="false">Optionen!A37</f>
        <v>20252</v>
      </c>
      <c r="B364" s="6" t="str">
        <f aca="false">Optionen!B37</f>
        <v>000-23058</v>
      </c>
      <c r="C364" s="6" t="str">
        <f aca="false">Optionen!C37</f>
        <v>Principles of Behavioral Economics</v>
      </c>
      <c r="D364" s="7" t="str">
        <f aca="false">Optionen!D37</f>
        <v>000-15017</v>
      </c>
      <c r="E364" s="6" t="n">
        <f aca="false">Optionen!E37</f>
        <v>0</v>
      </c>
      <c r="F364" s="6" t="n">
        <f aca="false">Optionen!F37</f>
        <v>0</v>
      </c>
      <c r="G364" s="6" t="str">
        <f aca="false">Optionen!G37</f>
        <v>keine Klausur (Prüfung ist mit dem Lehrenden abzustimmen)</v>
      </c>
      <c r="H364" s="8" t="str">
        <f aca="false">Optionen!H37</f>
        <v>keine Klausur</v>
      </c>
      <c r="I364" s="6" t="str">
        <f aca="false">Optionen!I37</f>
        <v>keine Klausur</v>
      </c>
      <c r="J364" s="6" t="n">
        <f aca="false">Optionen!J37</f>
        <v>0</v>
      </c>
      <c r="K364" s="9" t="str">
        <f aca="false">Optionen!K37</f>
        <v>Freudenberger, Axel, Herr Prof. Dr. (Prof) - 4.000 SWS</v>
      </c>
      <c r="L364" s="1" t="n">
        <f aca="false">'Management MSc'!L10</f>
        <v>0</v>
      </c>
      <c r="M364" s="1" t="n">
        <f aca="false">'Management MSc'!M10</f>
        <v>0</v>
      </c>
    </row>
    <row r="365" customFormat="false" ht="39.55" hidden="false" customHeight="false" outlineLevel="0" collapsed="false">
      <c r="A365" s="6" t="str">
        <f aca="false">Optionen!A39</f>
        <v>w</v>
      </c>
      <c r="B365" s="6" t="str">
        <f aca="false">Optionen!B39</f>
        <v>000-23060</v>
      </c>
      <c r="C365" s="6" t="str">
        <f aca="false">Optionen!C39</f>
        <v>Prompt Engineering for Managers</v>
      </c>
      <c r="D365" s="6" t="str">
        <f aca="false">Optionen!D39</f>
        <v>00-000-11-515-05-P</v>
      </c>
      <c r="E365" s="6" t="n">
        <f aca="false">Optionen!E39</f>
        <v>0</v>
      </c>
      <c r="F365" s="6" t="n">
        <f aca="false">Optionen!F39</f>
        <v>0</v>
      </c>
      <c r="G365" s="6" t="str">
        <f aca="false">Optionen!G39</f>
        <v>keine Klausur (Prüfung ist mit dem Lehrenden abzustimmen)</v>
      </c>
      <c r="H365" s="8" t="str">
        <f aca="false">Optionen!H39</f>
        <v>keine Klausur</v>
      </c>
      <c r="I365" s="6" t="str">
        <f aca="false">Optionen!I39</f>
        <v>keine Klausur</v>
      </c>
      <c r="J365" s="6" t="n">
        <f aca="false">Optionen!J39</f>
        <v>0</v>
      </c>
      <c r="K365" s="9" t="str">
        <f aca="false">Optionen!K39</f>
        <v>Wunder, Andreas, Herr (Ass) - 1.000 SWS;Au, Christian, Herr Prof. Dr. (Prof) - 2.000 SWS;Fränzl, Jonas, Herr (Ass) - 1.000 SWS</v>
      </c>
      <c r="L365" s="1" t="n">
        <f aca="false">'Management MSc'!L11</f>
        <v>0</v>
      </c>
      <c r="M365" s="1" t="n">
        <f aca="false">'Management MSc'!M11</f>
        <v>0</v>
      </c>
    </row>
    <row r="366" customFormat="false" ht="26.85" hidden="false" customHeight="false" outlineLevel="0" collapsed="false">
      <c r="A366" s="6" t="str">
        <f aca="false">Optionen!A40</f>
        <v>20252</v>
      </c>
      <c r="B366" s="6" t="str">
        <f aca="false">Optionen!B40</f>
        <v>000-66803</v>
      </c>
      <c r="C366" s="9" t="str">
        <f aca="false">Optionen!C40</f>
        <v>Recht der digitalen Welt - Digitalisierung, Künstliche Intelligenz &amp; Co. in der Rechtsordnung -</v>
      </c>
      <c r="D366" s="6" t="n">
        <f aca="false">Optionen!D40</f>
        <v>0</v>
      </c>
      <c r="E366" s="6" t="n">
        <f aca="false">Optionen!E40</f>
        <v>0</v>
      </c>
      <c r="F366" s="6" t="n">
        <f aca="false">Optionen!F40</f>
        <v>0</v>
      </c>
      <c r="G366" s="6" t="str">
        <f aca="false">Optionen!G40</f>
        <v>keine Klausur (Prüfung ist mit dem Lehrenden abzustimmen)</v>
      </c>
      <c r="H366" s="8" t="str">
        <f aca="false">Optionen!H40</f>
        <v>keine Klausur</v>
      </c>
      <c r="I366" s="6" t="str">
        <f aca="false">Optionen!I40</f>
        <v>keine Klausur</v>
      </c>
      <c r="J366" s="6" t="n">
        <f aca="false">Optionen!J40</f>
        <v>0</v>
      </c>
      <c r="K366" s="9" t="str">
        <f aca="false">Optionen!K40</f>
        <v>Reich, Anke, Frau Prof. Dr. (Prof) - 4.000 SWS</v>
      </c>
      <c r="L366" s="1" t="n">
        <f aca="false">'Management MSc'!L12</f>
        <v>0</v>
      </c>
      <c r="M366" s="1" t="n">
        <f aca="false">'Management MSc'!M12</f>
        <v>0</v>
      </c>
    </row>
    <row r="367" customFormat="false" ht="26.85" hidden="false" customHeight="false" outlineLevel="0" collapsed="false">
      <c r="A367" s="6" t="str">
        <f aca="false">Optionen!A41</f>
        <v>20252</v>
      </c>
      <c r="B367" s="6" t="str">
        <f aca="false">Optionen!B41</f>
        <v>000-24021</v>
      </c>
      <c r="C367" s="9" t="str">
        <f aca="false">Optionen!C41</f>
        <v>Recht und Gesellschaft</v>
      </c>
      <c r="D367" s="6" t="n">
        <f aca="false">Optionen!D41</f>
        <v>0</v>
      </c>
      <c r="E367" s="6" t="n">
        <f aca="false">Optionen!E41</f>
        <v>0</v>
      </c>
      <c r="F367" s="6" t="n">
        <f aca="false">Optionen!F41</f>
        <v>0</v>
      </c>
      <c r="G367" s="6" t="str">
        <f aca="false">Optionen!G41</f>
        <v>keine Klausur (Prüfung ist mit dem Lehrenden abzustimmen)</v>
      </c>
      <c r="H367" s="8" t="str">
        <f aca="false">Optionen!H41</f>
        <v>keine Klausur</v>
      </c>
      <c r="I367" s="6" t="str">
        <f aca="false">Optionen!I41</f>
        <v>keine Klausur</v>
      </c>
      <c r="J367" s="6" t="n">
        <f aca="false">Optionen!J41</f>
        <v>0</v>
      </c>
      <c r="K367" s="9" t="str">
        <f aca="false">Optionen!K41</f>
        <v>Kämpf, Hanno, Herr Prof. Dr. (Prof) - 2.000 SWS;Nerenberg, Colin, Herr (LKfbA) - 2.000 SWS</v>
      </c>
      <c r="L367" s="1" t="n">
        <f aca="false">'Management MSc'!L13</f>
        <v>0</v>
      </c>
      <c r="M367" s="1" t="n">
        <f aca="false">'Management MSc'!M13</f>
        <v>0</v>
      </c>
    </row>
    <row r="368" customFormat="false" ht="14.15" hidden="false" customHeight="false" outlineLevel="0" collapsed="false">
      <c r="A368" s="6" t="str">
        <f aca="false">Optionen!A45</f>
        <v>20252</v>
      </c>
      <c r="B368" s="6" t="str">
        <f aca="false">Optionen!B45</f>
        <v>000-25065</v>
      </c>
      <c r="C368" s="9" t="str">
        <f aca="false">Optionen!C45</f>
        <v>Soziale Interaktion</v>
      </c>
      <c r="D368" s="6" t="n">
        <f aca="false">Optionen!D45</f>
        <v>0</v>
      </c>
      <c r="E368" s="6" t="n">
        <f aca="false">Optionen!E45</f>
        <v>0</v>
      </c>
      <c r="F368" s="6" t="n">
        <f aca="false">Optionen!F45</f>
        <v>0</v>
      </c>
      <c r="G368" s="6" t="str">
        <f aca="false">Optionen!G45</f>
        <v>keine Klausur (Prüfung ist mit dem Lehrenden abzustimmen)</v>
      </c>
      <c r="H368" s="8" t="str">
        <f aca="false">Optionen!H45</f>
        <v>keine Klausur</v>
      </c>
      <c r="I368" s="6" t="str">
        <f aca="false">Optionen!I45</f>
        <v>keine Klausur</v>
      </c>
      <c r="J368" s="6" t="n">
        <f aca="false">Optionen!J45</f>
        <v>0</v>
      </c>
      <c r="K368" s="9" t="str">
        <f aca="false">Optionen!K45</f>
        <v>Rohleder, Norbert, Herr Prof. Dr. (Prof) - 4.000 SWS</v>
      </c>
      <c r="L368" s="1" t="n">
        <f aca="false">'Management MSc'!L14</f>
        <v>0</v>
      </c>
      <c r="M368" s="1" t="n">
        <f aca="false">'Management MSc'!M14</f>
        <v>0</v>
      </c>
    </row>
    <row r="369" customFormat="false" ht="26.85" hidden="false" customHeight="false" outlineLevel="0" collapsed="false">
      <c r="A369" s="6" t="str">
        <f aca="false">Optionen!A48</f>
        <v>w</v>
      </c>
      <c r="B369" s="6" t="str">
        <f aca="false">Optionen!B48</f>
        <v>000-25068</v>
      </c>
      <c r="C369" s="9" t="str">
        <f aca="false">Optionen!C48</f>
        <v>Sustainable Global Value Chains</v>
      </c>
      <c r="D369" s="6" t="n">
        <f aca="false">Optionen!D48</f>
        <v>0</v>
      </c>
      <c r="E369" s="6" t="n">
        <f aca="false">Optionen!E48</f>
        <v>0</v>
      </c>
      <c r="F369" s="6" t="n">
        <f aca="false">Optionen!F48</f>
        <v>0</v>
      </c>
      <c r="G369" s="6" t="str">
        <f aca="false">Optionen!G48</f>
        <v>keine Klausur (Prüfung ist mit dem Lehrenden abzustimmen)</v>
      </c>
      <c r="H369" s="8" t="str">
        <f aca="false">Optionen!H48</f>
        <v>keine Klausur</v>
      </c>
      <c r="I369" s="6" t="str">
        <f aca="false">Optionen!I48</f>
        <v>keine Klausur</v>
      </c>
      <c r="J369" s="6" t="n">
        <f aca="false">Optionen!J48</f>
        <v>0</v>
      </c>
      <c r="K369" s="9" t="str">
        <f aca="false">Optionen!K48</f>
        <v>Bals, Lydia, Frau Prof. Dr. (Prof) - 3.000 SWS;Weyer, Kira, Frau Prof. Dr. (Prof) - 1.000 SWS</v>
      </c>
    </row>
    <row r="370" customFormat="false" ht="14.15" hidden="false" customHeight="false" outlineLevel="0" collapsed="false">
      <c r="A370" s="6" t="str">
        <f aca="false">Optionen!A49</f>
        <v>20252</v>
      </c>
      <c r="B370" s="6" t="str">
        <f aca="false">Optionen!B49</f>
        <v>000-27002</v>
      </c>
      <c r="C370" s="9" t="str">
        <f aca="false">Optionen!C49</f>
        <v>Unternehmensfinanzierung</v>
      </c>
      <c r="D370" s="6" t="n">
        <f aca="false">Optionen!D49</f>
        <v>0</v>
      </c>
      <c r="E370" s="6" t="n">
        <f aca="false">Optionen!E49</f>
        <v>0</v>
      </c>
      <c r="F370" s="6" t="n">
        <f aca="false">Optionen!F49</f>
        <v>0</v>
      </c>
      <c r="G370" s="6" t="str">
        <f aca="false">Optionen!G49</f>
        <v>keine Klausur (Prüfung ist mit dem Lehrenden abzustimmen)</v>
      </c>
      <c r="H370" s="8" t="str">
        <f aca="false">Optionen!H49</f>
        <v>keine Klausur</v>
      </c>
      <c r="I370" s="6" t="str">
        <f aca="false">Optionen!I49</f>
        <v>keine Klausur</v>
      </c>
      <c r="J370" s="6" t="n">
        <f aca="false">Optionen!J49</f>
        <v>0</v>
      </c>
      <c r="K370" s="9" t="str">
        <f aca="false">Optionen!K49</f>
        <v>Hehn, Markus, Herr Prof. Dr. (Prof) - 4.000 SWS</v>
      </c>
      <c r="L370" s="1" t="n">
        <f aca="false">'Management MSc'!L15</f>
        <v>0</v>
      </c>
      <c r="M370" s="1" t="n">
        <f aca="false">'Management MSc'!M15</f>
        <v>0</v>
      </c>
    </row>
    <row r="371" customFormat="false" ht="14.15" hidden="false" customHeight="false" outlineLevel="0" collapsed="false">
      <c r="A371" s="6" t="str">
        <f aca="false">Optionen!A51</f>
        <v>w</v>
      </c>
      <c r="B371" s="6" t="str">
        <f aca="false">Optionen!B51</f>
        <v>000-56330</v>
      </c>
      <c r="C371" s="9" t="str">
        <f aca="false">Optionen!C51</f>
        <v>Unternehmen als Organisationen verstehen</v>
      </c>
      <c r="D371" s="6" t="n">
        <f aca="false">Optionen!D51</f>
        <v>0</v>
      </c>
      <c r="E371" s="6" t="n">
        <f aca="false">Optionen!E51</f>
        <v>0</v>
      </c>
      <c r="F371" s="6" t="n">
        <f aca="false">Optionen!F51</f>
        <v>0</v>
      </c>
      <c r="G371" s="6" t="str">
        <f aca="false">Optionen!G51</f>
        <v>keine Klausur (Prüfung ist mit dem Lehrenden abzustimmen)</v>
      </c>
      <c r="H371" s="8" t="str">
        <f aca="false">Optionen!H51</f>
        <v>keine Klausur</v>
      </c>
      <c r="I371" s="6" t="str">
        <f aca="false">Optionen!I51</f>
        <v>keine Klausur</v>
      </c>
      <c r="J371" s="6" t="n">
        <f aca="false">Optionen!J51</f>
        <v>0</v>
      </c>
      <c r="K371" s="9" t="str">
        <f aca="false">Optionen!K51</f>
        <v>Redler, Jörn, Herr Prof. Dr. (Prof) - 4.000 SWS</v>
      </c>
      <c r="L371" s="1" t="n">
        <f aca="false">'Management MSc'!L16</f>
        <v>0</v>
      </c>
      <c r="M371" s="1" t="n">
        <f aca="false">'Management MSc'!M16</f>
        <v>0</v>
      </c>
    </row>
    <row r="372" customFormat="false" ht="14.15" hidden="false" customHeight="false" outlineLevel="0" collapsed="false">
      <c r="A372" s="6" t="str">
        <f aca="false">Optionen!A52</f>
        <v>w</v>
      </c>
      <c r="B372" s="6" t="str">
        <f aca="false">Optionen!B52</f>
        <v>000-27035</v>
      </c>
      <c r="C372" s="9" t="str">
        <f aca="false">Optionen!C52</f>
        <v>Verkaufen statt Verhandeln - Sales Excellence</v>
      </c>
      <c r="D372" s="6" t="n">
        <f aca="false">Optionen!D52</f>
        <v>0</v>
      </c>
      <c r="E372" s="6" t="n">
        <f aca="false">Optionen!E52</f>
        <v>0</v>
      </c>
      <c r="F372" s="6" t="n">
        <f aca="false">Optionen!F52</f>
        <v>0</v>
      </c>
      <c r="G372" s="6" t="str">
        <f aca="false">Optionen!G52</f>
        <v>keine Klausur (Prüfung ist mit dem Lehrenden abzustimmen)</v>
      </c>
      <c r="H372" s="8" t="str">
        <f aca="false">Optionen!H52</f>
        <v>keine Klausur</v>
      </c>
      <c r="I372" s="6" t="str">
        <f aca="false">Optionen!I52</f>
        <v>keine Klausur</v>
      </c>
      <c r="J372" s="6" t="n">
        <f aca="false">Optionen!J52</f>
        <v>0</v>
      </c>
      <c r="K372" s="9" t="str">
        <f aca="false">Optionen!K52</f>
        <v>Kaul, Oliver, Herr Prof. Dr. (Prof) - 4.000 SWS</v>
      </c>
      <c r="L372" s="1" t="n">
        <f aca="false">'Management MSc'!L17</f>
        <v>0</v>
      </c>
      <c r="M372" s="1" t="n">
        <f aca="false">'Management MSc'!M17</f>
        <v>0</v>
      </c>
    </row>
    <row r="373" customFormat="false" ht="14.15" hidden="false" customHeight="false" outlineLevel="0" collapsed="false">
      <c r="A373" s="6" t="str">
        <f aca="false">'WR LLM'!A7</f>
        <v>w</v>
      </c>
      <c r="B373" s="6" t="str">
        <f aca="false">'WR LLM'!B7</f>
        <v>932-60111</v>
      </c>
      <c r="C373" s="9" t="str">
        <f aca="false">'WR LLM'!C7</f>
        <v>Unternehmensbericht</v>
      </c>
      <c r="D373" s="6" t="n">
        <f aca="false">'WR LLM'!D7</f>
        <v>0</v>
      </c>
      <c r="E373" s="6" t="n">
        <f aca="false">'WR LLM'!E7</f>
        <v>0</v>
      </c>
      <c r="F373" s="6" t="n">
        <f aca="false">'WR LLM'!F7</f>
        <v>0</v>
      </c>
      <c r="G373" s="6" t="str">
        <f aca="false">'WR LLM'!G7</f>
        <v>keine Klausur (Prüfung ist mit dem Lehrenden abzustimmen)</v>
      </c>
      <c r="H373" s="8" t="str">
        <f aca="false">'WR LLM'!H7</f>
        <v>keine Klausur</v>
      </c>
      <c r="I373" s="6" t="str">
        <f aca="false">'WR LLM'!I7</f>
        <v>keine Klausur</v>
      </c>
      <c r="J373" s="6" t="n">
        <f aca="false">'WR LLM'!J7</f>
        <v>0</v>
      </c>
      <c r="K373" s="9" t="str">
        <f aca="false">'WR LLM'!K7</f>
        <v>Strobel, Maria, Frau Prof. Dr. (Prof) - 1.000 SWS</v>
      </c>
      <c r="L373" s="1" t="n">
        <f aca="false">'Management MSc'!L18</f>
        <v>0</v>
      </c>
      <c r="M373" s="1" t="n">
        <f aca="false">'Management MSc'!M18</f>
        <v>0</v>
      </c>
    </row>
    <row r="374" customFormat="false" ht="14.15" hidden="false" customHeight="false" outlineLevel="0" collapsed="false">
      <c r="A374" s="6" t="str">
        <f aca="false">'WR LLM'!A8</f>
        <v>w</v>
      </c>
      <c r="B374" s="6" t="str">
        <f aca="false">'WR LLM'!B8</f>
        <v>932-60112</v>
      </c>
      <c r="C374" s="9" t="str">
        <f aca="false">'WR LLM'!C8</f>
        <v>Change Management</v>
      </c>
      <c r="D374" s="6" t="n">
        <f aca="false">'WR LLM'!D8</f>
        <v>0</v>
      </c>
      <c r="E374" s="6" t="n">
        <f aca="false">'WR LLM'!E8</f>
        <v>0</v>
      </c>
      <c r="F374" s="6" t="n">
        <f aca="false">'WR LLM'!F8</f>
        <v>0</v>
      </c>
      <c r="G374" s="6" t="str">
        <f aca="false">'WR LLM'!G8</f>
        <v>keine Klausur (Prüfung ist mit dem Lehrenden abzustimmen)</v>
      </c>
      <c r="H374" s="8" t="str">
        <f aca="false">'WR LLM'!H8</f>
        <v>keine Klausur</v>
      </c>
      <c r="I374" s="6" t="str">
        <f aca="false">'WR LLM'!I8</f>
        <v>keine Klausur</v>
      </c>
      <c r="J374" s="6" t="n">
        <f aca="false">'WR LLM'!J8</f>
        <v>0</v>
      </c>
      <c r="K374" s="9" t="str">
        <f aca="false">'WR LLM'!K8</f>
        <v>Berninger, Silke, Frau (LBA) - 3.000 SWS</v>
      </c>
      <c r="L374" s="1" t="n">
        <f aca="false">'Management MSc'!L19</f>
        <v>0</v>
      </c>
      <c r="M374" s="1" t="n">
        <f aca="false">'Management MSc'!M19</f>
        <v>0</v>
      </c>
    </row>
    <row r="375" customFormat="false" ht="14.15" hidden="false" customHeight="false" outlineLevel="0" collapsed="false">
      <c r="A375" s="6" t="str">
        <f aca="false">'WR LLM'!A13</f>
        <v>20252</v>
      </c>
      <c r="B375" s="6" t="str">
        <f aca="false">'WR LLM'!B13</f>
        <v>932-60205</v>
      </c>
      <c r="C375" s="6" t="str">
        <f aca="false">'WR LLM'!C13</f>
        <v>Performance Management</v>
      </c>
      <c r="D375" s="6" t="n">
        <f aca="false">'WR LLM'!D13</f>
        <v>0</v>
      </c>
      <c r="E375" s="6" t="n">
        <f aca="false">'WR LLM'!E13</f>
        <v>0</v>
      </c>
      <c r="F375" s="6" t="n">
        <f aca="false">'WR LLM'!F13</f>
        <v>0</v>
      </c>
      <c r="G375" s="6" t="str">
        <f aca="false">'WR LLM'!G13</f>
        <v>keine Klausur (Prüfung ist mit dem Lehrenden abzustimmen)</v>
      </c>
      <c r="H375" s="8" t="str">
        <f aca="false">'WR LLM'!H13</f>
        <v>keine Klausur</v>
      </c>
      <c r="I375" s="6" t="str">
        <f aca="false">'WR LLM'!I13</f>
        <v>keine Klausur</v>
      </c>
      <c r="J375" s="6" t="n">
        <f aca="false">'WR LLM'!J13</f>
        <v>0</v>
      </c>
      <c r="K375" s="9" t="str">
        <f aca="false">'WR LLM'!K13</f>
        <v>Christ, Michael, Herr Prof. Dr. (Prof) - 4.000 SWS</v>
      </c>
      <c r="L375" s="1" t="n">
        <f aca="false">'Management MSc'!L20</f>
        <v>0</v>
      </c>
      <c r="M375" s="1" t="n">
        <f aca="false">'Management MSc'!M20</f>
        <v>0</v>
      </c>
    </row>
    <row r="376" customFormat="false" ht="14.15" hidden="false" customHeight="false" outlineLevel="0" collapsed="false">
      <c r="A376" s="6" t="str">
        <f aca="false">'WR LLM'!A14</f>
        <v>20252</v>
      </c>
      <c r="B376" s="6" t="str">
        <f aca="false">'WR LLM'!B14</f>
        <v>932-60211</v>
      </c>
      <c r="C376" s="6" t="str">
        <f aca="false">'WR LLM'!C14</f>
        <v>Konfliktmanagement &amp; Mediation</v>
      </c>
      <c r="D376" s="6" t="n">
        <f aca="false">'WR LLM'!D14</f>
        <v>0</v>
      </c>
      <c r="E376" s="6" t="n">
        <f aca="false">'WR LLM'!E14</f>
        <v>0</v>
      </c>
      <c r="F376" s="6" t="n">
        <f aca="false">'WR LLM'!F14</f>
        <v>0</v>
      </c>
      <c r="G376" s="6" t="str">
        <f aca="false">'WR LLM'!G14</f>
        <v>keine Klausur (Prüfung ist mit dem Lehrenden abzustimmen)</v>
      </c>
      <c r="H376" s="8" t="str">
        <f aca="false">'WR LLM'!H14</f>
        <v>keine Klausur</v>
      </c>
      <c r="I376" s="6" t="str">
        <f aca="false">'WR LLM'!I14</f>
        <v>keine Klausur</v>
      </c>
      <c r="J376" s="6" t="n">
        <f aca="false">'WR LLM'!J14</f>
        <v>0</v>
      </c>
      <c r="K376" s="9" t="str">
        <f aca="false">'WR LLM'!K14</f>
        <v>Kracht, Jochen, Herr (LBA) - 2.000 SWS</v>
      </c>
      <c r="L376" s="1" t="n">
        <f aca="false">'Management MSc'!L21</f>
        <v>0</v>
      </c>
      <c r="M376" s="1" t="n">
        <f aca="false">'Management MSc'!M21</f>
        <v>0</v>
      </c>
    </row>
    <row r="377" customFormat="false" ht="14.15" hidden="false" customHeight="false" outlineLevel="0" collapsed="false">
      <c r="A377" s="6" t="str">
        <f aca="false">'WR LLM'!A15</f>
        <v>20252</v>
      </c>
      <c r="B377" s="6" t="str">
        <f aca="false">'WR LLM'!B15</f>
        <v>932-60212</v>
      </c>
      <c r="C377" s="6" t="str">
        <f aca="false">'WR LLM'!C15</f>
        <v>Unternehmenspraxis</v>
      </c>
      <c r="D377" s="6" t="n">
        <f aca="false">'WR LLM'!D15</f>
        <v>0</v>
      </c>
      <c r="E377" s="6" t="n">
        <f aca="false">'WR LLM'!E15</f>
        <v>0</v>
      </c>
      <c r="F377" s="6" t="n">
        <f aca="false">'WR LLM'!F15</f>
        <v>0</v>
      </c>
      <c r="G377" s="6" t="str">
        <f aca="false">'WR LLM'!G15</f>
        <v>keine Klausur (Prüfung ist mit dem Lehrenden abzustimmen)</v>
      </c>
      <c r="H377" s="8" t="str">
        <f aca="false">'WR LLM'!H15</f>
        <v>keine Klausur</v>
      </c>
      <c r="I377" s="6" t="str">
        <f aca="false">'WR LLM'!I15</f>
        <v>keine Klausur</v>
      </c>
      <c r="J377" s="6" t="n">
        <f aca="false">'WR LLM'!J15</f>
        <v>0</v>
      </c>
      <c r="K377" s="9" t="str">
        <f aca="false">'WR LLM'!K15</f>
        <v>Strobel, Maria, Frau Prof. Dr. (Prof) - 2.000 SWS</v>
      </c>
      <c r="L377" s="1" t="n">
        <f aca="false">'Management MSc'!L22</f>
        <v>0</v>
      </c>
      <c r="M377" s="1" t="n">
        <f aca="false">'Management MSc'!M22</f>
        <v>0</v>
      </c>
    </row>
    <row r="378" customFormat="false" ht="14.15" hidden="false" customHeight="false" outlineLevel="0" collapsed="false">
      <c r="A378" s="6" t="str">
        <f aca="false">'Management MSc'!A4</f>
        <v>20252</v>
      </c>
      <c r="B378" s="6" t="str">
        <f aca="false">'Management MSc'!B4</f>
        <v>996-61104</v>
      </c>
      <c r="C378" s="9" t="str">
        <f aca="false">'Management MSc'!C4</f>
        <v>Human Resource Management &amp; Analytics</v>
      </c>
      <c r="D378" s="6" t="n">
        <f aca="false">'Management MSc'!D4</f>
        <v>60104</v>
      </c>
      <c r="E378" s="6" t="n">
        <f aca="false">'Management MSc'!E4</f>
        <v>0</v>
      </c>
      <c r="F378" s="6" t="n">
        <f aca="false">'Management MSc'!F4</f>
        <v>0</v>
      </c>
      <c r="G378" s="6" t="str">
        <f aca="false">'Management MSc'!G4</f>
        <v>keine Klausur (Prüfung ist mit dem Lehrenden abzustimmen)</v>
      </c>
      <c r="H378" s="8" t="str">
        <f aca="false">'Management MSc'!H4</f>
        <v>keine Klausur</v>
      </c>
      <c r="I378" s="6" t="str">
        <f aca="false">'Management MSc'!I4</f>
        <v>keine Klausur</v>
      </c>
      <c r="J378" s="6" t="n">
        <f aca="false">'Management MSc'!J4</f>
        <v>0</v>
      </c>
      <c r="K378" s="9" t="str">
        <f aca="false">'Management MSc'!K4</f>
        <v>Strobel, Maria, Frau Prof. Dr. (Prof) - 4.000 SWS</v>
      </c>
      <c r="L378" s="1" t="n">
        <f aca="false">'Management MSc'!L23</f>
        <v>0</v>
      </c>
      <c r="M378" s="1" t="n">
        <f aca="false">'Management MSc'!M23</f>
        <v>0</v>
      </c>
    </row>
    <row r="379" customFormat="false" ht="14.15" hidden="false" customHeight="false" outlineLevel="0" collapsed="false">
      <c r="A379" s="6" t="str">
        <f aca="false">'Management MSc'!A5</f>
        <v>20252</v>
      </c>
      <c r="B379" s="6" t="str">
        <f aca="false">'Management MSc'!B5</f>
        <v>996-61105</v>
      </c>
      <c r="C379" s="9" t="str">
        <f aca="false">'Management MSc'!C5</f>
        <v>Business Problem Solving</v>
      </c>
      <c r="D379" s="6" t="n">
        <f aca="false">'Management MSc'!D5</f>
        <v>60105</v>
      </c>
      <c r="E379" s="6" t="n">
        <f aca="false">'Management MSc'!E5</f>
        <v>0</v>
      </c>
      <c r="F379" s="6" t="n">
        <f aca="false">'Management MSc'!F5</f>
        <v>0</v>
      </c>
      <c r="G379" s="6" t="str">
        <f aca="false">'Management MSc'!G5</f>
        <v>keine Klausur (Prüfung ist mit dem Lehrenden abzustimmen)</v>
      </c>
      <c r="H379" s="8" t="str">
        <f aca="false">'Management MSc'!H5</f>
        <v>keine Klausur</v>
      </c>
      <c r="I379" s="6" t="str">
        <f aca="false">'Management MSc'!I5</f>
        <v>keine Klausur</v>
      </c>
      <c r="J379" s="6" t="n">
        <f aca="false">'Management MSc'!J5</f>
        <v>0</v>
      </c>
      <c r="K379" s="9" t="str">
        <f aca="false">'Management MSc'!K5</f>
        <v>Au, Christian, Herr Prof. Dr. (Prof) - 4.000 SWS</v>
      </c>
      <c r="L379" s="1" t="n">
        <f aca="false">'Management MSc'!L24</f>
        <v>0</v>
      </c>
      <c r="M379" s="1" t="n">
        <f aca="false">'Management MSc'!M24</f>
        <v>0</v>
      </c>
    </row>
    <row r="380" customFormat="false" ht="39.55" hidden="false" customHeight="false" outlineLevel="0" collapsed="false">
      <c r="A380" s="6" t="str">
        <f aca="false">'Management MSc'!A10</f>
        <v>20252</v>
      </c>
      <c r="B380" s="6" t="str">
        <f aca="false">'Management MSc'!B10</f>
        <v>996-61303</v>
      </c>
      <c r="C380" s="9" t="str">
        <f aca="false">'Management MSc'!C10</f>
        <v>Digital Ökonomie</v>
      </c>
      <c r="D380" s="6" t="n">
        <f aca="false">'Management MSc'!D10</f>
        <v>60203</v>
      </c>
      <c r="E380" s="6" t="n">
        <f aca="false">'Management MSc'!E10</f>
        <v>0</v>
      </c>
      <c r="F380" s="6" t="n">
        <f aca="false">'Management MSc'!F10</f>
        <v>0</v>
      </c>
      <c r="G380" s="6" t="str">
        <f aca="false">'Management MSc'!G10</f>
        <v>keine Klausur (Prüfung ist mit dem Lehrenden abzustimmen)</v>
      </c>
      <c r="H380" s="8" t="str">
        <f aca="false">'Management MSc'!H10</f>
        <v>keine Klausur</v>
      </c>
      <c r="I380" s="6" t="str">
        <f aca="false">'Management MSc'!I10</f>
        <v>keine Klausur</v>
      </c>
      <c r="J380" s="6" t="n">
        <f aca="false">'Management MSc'!J10</f>
        <v>0</v>
      </c>
      <c r="K380" s="9" t="str">
        <f aca="false">'Management MSc'!K10</f>
        <v>Ostheimer, Bernhard, Herr Prof. Dr. (Prof) - 3.200 SWS;Weitzel, Dirk, Herr Prof. Dr. (Prof) - 0.100 SWS;Mehler-Bicher, Anett, Frau Prof. Dr. (Prof) - 0.700 SWS</v>
      </c>
      <c r="L380" s="1" t="n">
        <f aca="false">'Management MSc'!L25</f>
        <v>0</v>
      </c>
      <c r="M380" s="1" t="n">
        <f aca="false">'Management MSc'!M25</f>
        <v>0</v>
      </c>
    </row>
    <row r="381" customFormat="false" ht="26.85" hidden="false" customHeight="false" outlineLevel="0" collapsed="false">
      <c r="A381" s="6" t="str">
        <f aca="false">'Management MSc'!A11</f>
        <v>20252</v>
      </c>
      <c r="B381" s="6" t="str">
        <f aca="false">'Management MSc'!B11</f>
        <v>996-61304</v>
      </c>
      <c r="C381" s="9" t="str">
        <f aca="false">'Management MSc'!C11</f>
        <v>Transformation &amp; Change Management</v>
      </c>
      <c r="D381" s="6" t="n">
        <f aca="false">'Management MSc'!D11</f>
        <v>60204</v>
      </c>
      <c r="E381" s="6" t="n">
        <f aca="false">'Management MSc'!E11</f>
        <v>0</v>
      </c>
      <c r="F381" s="6" t="n">
        <f aca="false">'Management MSc'!F11</f>
        <v>0</v>
      </c>
      <c r="G381" s="6" t="str">
        <f aca="false">'Management MSc'!G11</f>
        <v>keine Klausur (Prüfung ist mit dem Lehrenden abzustimmen)</v>
      </c>
      <c r="H381" s="8" t="str">
        <f aca="false">'Management MSc'!H11</f>
        <v>keine Klausur</v>
      </c>
      <c r="I381" s="6" t="str">
        <f aca="false">'Management MSc'!I11</f>
        <v>keine Klausur</v>
      </c>
      <c r="J381" s="6" t="n">
        <f aca="false">'Management MSc'!J11</f>
        <v>0</v>
      </c>
      <c r="K381" s="9" t="str">
        <f aca="false">'Management MSc'!K11</f>
        <v>Krug, David Alexander, Herr (LBA) - 2.000 SWS;Gütschow, Adeline, Frau (LBA) - 2.000 SWS</v>
      </c>
      <c r="L381" s="1" t="n">
        <f aca="false">'Management MSc'!L26</f>
        <v>0</v>
      </c>
      <c r="M381" s="1" t="n">
        <f aca="false">'Management MSc'!M26</f>
        <v>0</v>
      </c>
    </row>
    <row r="382" customFormat="false" ht="13.8" hidden="false" customHeight="false" outlineLevel="0" collapsed="false">
      <c r="A382" s="6" t="str">
        <f aca="false">'Management MSc'!A12</f>
        <v>20252</v>
      </c>
      <c r="B382" s="6" t="str">
        <f aca="false">'Management MSc'!B12</f>
        <v>996-61351</v>
      </c>
      <c r="C382" s="9" t="str">
        <f aca="false">'Management MSc'!C12</f>
        <v>Management Simulation Workshop</v>
      </c>
      <c r="D382" s="6" t="n">
        <f aca="false">'Management MSc'!D12</f>
        <v>60351</v>
      </c>
      <c r="E382" s="6" t="n">
        <f aca="false">'Management MSc'!E12</f>
        <v>0</v>
      </c>
      <c r="F382" s="6" t="n">
        <f aca="false">'Management MSc'!F12</f>
        <v>0</v>
      </c>
      <c r="G382" s="6" t="str">
        <f aca="false">'Management MSc'!G12</f>
        <v>keine Klausur (Prüfung ist mit dem Lehrenden abzustimmen)</v>
      </c>
      <c r="H382" s="8" t="str">
        <f aca="false">'Management MSc'!H12</f>
        <v>keine Klausur</v>
      </c>
      <c r="I382" s="6" t="str">
        <f aca="false">'Management MSc'!I12</f>
        <v>keine Klausur</v>
      </c>
      <c r="J382" s="6" t="n">
        <f aca="false">'Management MSc'!J12</f>
        <v>0</v>
      </c>
      <c r="K382" s="9" t="str">
        <f aca="false">'Management MSc'!K12</f>
        <v>Rathje, Britta, Frau Prof. Dr. (Prof) - 2.000 SWS</v>
      </c>
      <c r="L382" s="1" t="n">
        <f aca="false">'IB &amp; IMLA MA'!L2</f>
        <v>0</v>
      </c>
      <c r="M382" s="1" t="n">
        <f aca="false">'IB &amp; IMLA MA'!M2</f>
        <v>0</v>
      </c>
    </row>
    <row r="383" customFormat="false" ht="26.85" hidden="false" customHeight="false" outlineLevel="0" collapsed="false">
      <c r="A383" s="6" t="str">
        <f aca="false">'Management MSc'!A17</f>
        <v>20252</v>
      </c>
      <c r="B383" s="6" t="str">
        <f aca="false">'Management MSc'!B17</f>
        <v>996-61405</v>
      </c>
      <c r="C383" s="9" t="str">
        <f aca="false">'Management MSc'!C17</f>
        <v>Sustainability Projekt</v>
      </c>
      <c r="D383" s="6" t="n">
        <f aca="false">'Management MSc'!D17</f>
        <v>0</v>
      </c>
      <c r="E383" s="6" t="n">
        <f aca="false">'Management MSc'!E17</f>
        <v>0</v>
      </c>
      <c r="F383" s="6" t="n">
        <f aca="false">'Management MSc'!F17</f>
        <v>0</v>
      </c>
      <c r="G383" s="6" t="str">
        <f aca="false">'Management MSc'!G17</f>
        <v>keine Klausur (Prüfung ist mit dem Lehrenden abzustimmen)</v>
      </c>
      <c r="H383" s="8" t="str">
        <f aca="false">'Management MSc'!H17</f>
        <v>keine Klausur</v>
      </c>
      <c r="I383" s="6" t="str">
        <f aca="false">'Management MSc'!I17</f>
        <v>keine Klausur</v>
      </c>
      <c r="J383" s="6" t="n">
        <f aca="false">'Management MSc'!J17</f>
        <v>0</v>
      </c>
      <c r="K383" s="9" t="str">
        <f aca="false">'Management MSc'!K17</f>
        <v>Rank, Susanne, Frau Prof. Dr. (Prof) - 1.500 SWS;Klein, David, Herr (LBA) - 0.500 SWS</v>
      </c>
      <c r="L383" s="1" t="n">
        <f aca="false">'IB &amp; IMLA MA'!L3</f>
        <v>0</v>
      </c>
      <c r="M383" s="1" t="n">
        <f aca="false">'IB &amp; IMLA MA'!M3</f>
        <v>0</v>
      </c>
    </row>
    <row r="384" customFormat="false" ht="14.15" hidden="false" customHeight="false" outlineLevel="0" collapsed="false">
      <c r="A384" s="6" t="str">
        <f aca="false">'Management MSc'!A18</f>
        <v>20252</v>
      </c>
      <c r="B384" s="6" t="str">
        <f aca="false">'Management MSc'!B18</f>
        <v>996-61451</v>
      </c>
      <c r="C384" s="9" t="str">
        <f aca="false">'Management MSc'!C18</f>
        <v>International Management Seminar</v>
      </c>
      <c r="D384" s="7" t="str">
        <f aca="false">'Management MSc'!D18</f>
        <v>52480, 60380, 60480</v>
      </c>
      <c r="E384" s="6" t="n">
        <f aca="false">'Management MSc'!E18</f>
        <v>0</v>
      </c>
      <c r="F384" s="6" t="n">
        <f aca="false">'Management MSc'!F18</f>
        <v>0</v>
      </c>
      <c r="G384" s="6" t="str">
        <f aca="false">'Management MSc'!G18</f>
        <v>keine Klausur (Prüfung ist mit dem Lehrenden abzustimmen)</v>
      </c>
      <c r="H384" s="8" t="str">
        <f aca="false">'Management MSc'!H18</f>
        <v>keine Klausur</v>
      </c>
      <c r="I384" s="6" t="str">
        <f aca="false">'Management MSc'!I18</f>
        <v>keine Klausur</v>
      </c>
      <c r="J384" s="6" t="n">
        <f aca="false">'Management MSc'!J18</f>
        <v>0</v>
      </c>
      <c r="K384" s="9" t="str">
        <f aca="false">'Management MSc'!K18</f>
        <v>Ostheimer, Bernhard, Herr Prof. Dr. (Prof) - 2.000 SWS</v>
      </c>
      <c r="L384" s="1" t="n">
        <f aca="false">'IB &amp; IMLA MA'!L4</f>
        <v>0</v>
      </c>
      <c r="M384" s="1" t="n">
        <f aca="false">'IB &amp; IMLA MA'!M4</f>
        <v>0</v>
      </c>
    </row>
    <row r="385" customFormat="false" ht="26.85" hidden="false" customHeight="false" outlineLevel="0" collapsed="false">
      <c r="A385" s="6" t="str">
        <f aca="false">'Management MSc'!A19</f>
        <v>20252</v>
      </c>
      <c r="B385" s="6" t="str">
        <f aca="false">'Management MSc'!B19</f>
        <v>000-52333</v>
      </c>
      <c r="C385" s="9" t="str">
        <f aca="false">'Management MSc'!C19</f>
        <v>Controlling und Consulting</v>
      </c>
      <c r="D385" s="7" t="n">
        <f aca="false">'Management MSc'!D19</f>
        <v>0</v>
      </c>
      <c r="E385" s="6" t="n">
        <f aca="false">'Management MSc'!E19</f>
        <v>0</v>
      </c>
      <c r="F385" s="6" t="n">
        <f aca="false">'Management MSc'!F19</f>
        <v>0</v>
      </c>
      <c r="G385" s="6" t="str">
        <f aca="false">'Management MSc'!G19</f>
        <v>keine Klausur (Prüfung ist mit dem Lehrenden abzustimmen)</v>
      </c>
      <c r="H385" s="8" t="str">
        <f aca="false">'Management MSc'!H19</f>
        <v>keine Klausur</v>
      </c>
      <c r="I385" s="6" t="str">
        <f aca="false">'Management MSc'!I19</f>
        <v>keine Klausur</v>
      </c>
      <c r="J385" s="6" t="n">
        <f aca="false">'Management MSc'!J19</f>
        <v>0</v>
      </c>
      <c r="K385" s="9" t="str">
        <f aca="false">'Management MSc'!K19</f>
        <v>Fischbach, Sven, Herr Prof. Dr. (Prof) - 2.000 SWS;Rathje, Britta, Frau Prof. Dr. (Prof) - 2.000 SWS</v>
      </c>
      <c r="L385" s="1" t="n">
        <f aca="false">'IB &amp; IMLA MA'!L5</f>
        <v>0</v>
      </c>
      <c r="M385" s="1" t="n">
        <f aca="false">'IB &amp; IMLA MA'!M5</f>
        <v>0</v>
      </c>
    </row>
    <row r="386" customFormat="false" ht="14.15" hidden="false" customHeight="false" outlineLevel="0" collapsed="false">
      <c r="A386" s="6" t="str">
        <f aca="false">'Management MSc'!A20</f>
        <v>20252</v>
      </c>
      <c r="B386" s="6" t="str">
        <f aca="false">'Management MSc'!B20</f>
        <v>000-52735</v>
      </c>
      <c r="C386" s="9" t="str">
        <f aca="false">'Management MSc'!C20</f>
        <v>Digitale Logistik und Supply Chain Management</v>
      </c>
      <c r="D386" s="7" t="n">
        <f aca="false">'Management MSc'!D20</f>
        <v>0</v>
      </c>
      <c r="E386" s="6" t="n">
        <f aca="false">'Management MSc'!E20</f>
        <v>0</v>
      </c>
      <c r="F386" s="6" t="n">
        <f aca="false">'Management MSc'!F20</f>
        <v>0</v>
      </c>
      <c r="G386" s="6" t="str">
        <f aca="false">'Management MSc'!G20</f>
        <v>keine Klausur (Prüfung ist mit dem Lehrenden abzustimmen)</v>
      </c>
      <c r="H386" s="8" t="str">
        <f aca="false">'Management MSc'!H20</f>
        <v>keine Klausur</v>
      </c>
      <c r="I386" s="6" t="str">
        <f aca="false">'Management MSc'!I20</f>
        <v>keine Klausur</v>
      </c>
      <c r="J386" s="6" t="n">
        <f aca="false">'Management MSc'!J20</f>
        <v>0</v>
      </c>
      <c r="K386" s="9" t="str">
        <f aca="false">'Management MSc'!K20</f>
        <v>Berbner, Ulrich, Herr Prof. Dr. (Prof) - 4.000 SWS</v>
      </c>
      <c r="L386" s="1" t="n">
        <f aca="false">'IB &amp; IMLA MA'!L6</f>
        <v>0</v>
      </c>
      <c r="M386" s="1" t="n">
        <f aca="false">'IB &amp; IMLA MA'!M6</f>
        <v>0</v>
      </c>
    </row>
    <row r="387" customFormat="false" ht="14.15" hidden="false" customHeight="false" outlineLevel="0" collapsed="false">
      <c r="A387" s="6" t="str">
        <f aca="false">'Management MSc'!A22</f>
        <v>20252</v>
      </c>
      <c r="B387" s="6" t="str">
        <f aca="false">'Management MSc'!B22</f>
        <v>000-56733</v>
      </c>
      <c r="C387" s="9" t="str">
        <f aca="false">'Management MSc'!C22</f>
        <v>Leadership and HRM in International Companies</v>
      </c>
      <c r="D387" s="7" t="str">
        <f aca="false">'Management MSc'!D22</f>
        <v>000-56337</v>
      </c>
      <c r="E387" s="6" t="n">
        <f aca="false">'Management MSc'!E22</f>
        <v>0</v>
      </c>
      <c r="F387" s="6" t="n">
        <f aca="false">'Management MSc'!F22</f>
        <v>0</v>
      </c>
      <c r="G387" s="6" t="str">
        <f aca="false">'Management MSc'!G22</f>
        <v>keine Klausur (Prüfung ist mit dem Lehrenden abzustimmen)</v>
      </c>
      <c r="H387" s="8" t="str">
        <f aca="false">'Management MSc'!H22</f>
        <v>keine Klausur</v>
      </c>
      <c r="I387" s="6" t="str">
        <f aca="false">'Management MSc'!I22</f>
        <v>keine Klausur</v>
      </c>
      <c r="J387" s="6" t="n">
        <f aca="false">'Management MSc'!J22</f>
        <v>0</v>
      </c>
      <c r="K387" s="9" t="str">
        <f aca="false">'Management MSc'!K22</f>
        <v>Christ, Michael, Herr Prof. Dr. (Prof) - 4.000 SWS</v>
      </c>
      <c r="L387" s="1" t="n">
        <f aca="false">'IB &amp; IMLA MA'!L9</f>
        <v>0</v>
      </c>
      <c r="M387" s="1" t="n">
        <f aca="false">'IB &amp; IMLA MA'!M9</f>
        <v>0</v>
      </c>
    </row>
    <row r="388" customFormat="false" ht="14.15" hidden="false" customHeight="false" outlineLevel="0" collapsed="false">
      <c r="A388" s="6" t="str">
        <f aca="false">'Management MSc'!A23</f>
        <v>w</v>
      </c>
      <c r="B388" s="6" t="str">
        <f aca="false">'Management MSc'!B23</f>
        <v>000-52372</v>
      </c>
      <c r="C388" s="9" t="str">
        <f aca="false">'Management MSc'!C23</f>
        <v>Advanced Digital Marketing</v>
      </c>
      <c r="D388" s="7" t="n">
        <f aca="false">'Management MSc'!D23</f>
        <v>0</v>
      </c>
      <c r="E388" s="6" t="n">
        <f aca="false">'Management MSc'!E23</f>
        <v>0</v>
      </c>
      <c r="F388" s="6" t="n">
        <f aca="false">'Management MSc'!F23</f>
        <v>0</v>
      </c>
      <c r="G388" s="6" t="str">
        <f aca="false">'Management MSc'!G23</f>
        <v>keine Klausur (Prüfung ist mit dem Lehrenden abzustimmen)</v>
      </c>
      <c r="H388" s="8" t="str">
        <f aca="false">'Management MSc'!H23</f>
        <v>keine Klausur</v>
      </c>
      <c r="I388" s="6" t="str">
        <f aca="false">'Management MSc'!I23</f>
        <v>keine Klausur</v>
      </c>
      <c r="J388" s="6" t="n">
        <f aca="false">'Management MSc'!J23</f>
        <v>0</v>
      </c>
      <c r="K388" s="9" t="str">
        <f aca="false">'Management MSc'!K23</f>
        <v>Hillebrandt, Isabelle, Frau Prof. Dr. (Prof) - 4.000 SWS</v>
      </c>
      <c r="L388" s="1" t="n">
        <f aca="false">'IB &amp; IMLA MA'!L11</f>
        <v>0</v>
      </c>
      <c r="M388" s="1" t="n">
        <f aca="false">'IB &amp; IMLA MA'!M11</f>
        <v>0</v>
      </c>
    </row>
    <row r="389" customFormat="false" ht="26.85" hidden="false" customHeight="false" outlineLevel="0" collapsed="false">
      <c r="A389" s="6" t="str">
        <f aca="false">'Management MSc'!A24</f>
        <v>w</v>
      </c>
      <c r="B389" s="6" t="str">
        <f aca="false">'Management MSc'!B24</f>
        <v>000-52731</v>
      </c>
      <c r="C389" s="9" t="str">
        <f aca="false">'Management MSc'!C24</f>
        <v>Mergers &amp; Acqisitions</v>
      </c>
      <c r="D389" s="7" t="n">
        <f aca="false">'Management MSc'!D24</f>
        <v>0</v>
      </c>
      <c r="E389" s="6" t="n">
        <f aca="false">'Management MSc'!E24</f>
        <v>0</v>
      </c>
      <c r="F389" s="6" t="n">
        <f aca="false">'Management MSc'!F24</f>
        <v>0</v>
      </c>
      <c r="G389" s="6" t="str">
        <f aca="false">'Management MSc'!G24</f>
        <v>keine Klausur (Prüfung ist mit dem Lehrenden abzustimmen)</v>
      </c>
      <c r="H389" s="8" t="str">
        <f aca="false">'Management MSc'!H24</f>
        <v>keine Klausur</v>
      </c>
      <c r="I389" s="6" t="str">
        <f aca="false">'Management MSc'!I24</f>
        <v>keine Klausur</v>
      </c>
      <c r="J389" s="6" t="n">
        <f aca="false">'Management MSc'!J24</f>
        <v>0</v>
      </c>
      <c r="K389" s="9" t="str">
        <f aca="false">'Management MSc'!K24</f>
        <v>Hehn, Markus, Herr Prof. Dr. (Prof) - 3.000 SWS;Lorenz, Karsten, Herr Prof. Dr. (Prof) - 1.000 SWS</v>
      </c>
      <c r="L389" s="1" t="n">
        <f aca="false">'IB &amp; IMLA MA'!L12</f>
        <v>0</v>
      </c>
      <c r="M389" s="1" t="n">
        <f aca="false">'IB &amp; IMLA MA'!M12</f>
        <v>0</v>
      </c>
    </row>
    <row r="390" customFormat="false" ht="26.85" hidden="false" customHeight="false" outlineLevel="0" collapsed="false">
      <c r="A390" s="6" t="str">
        <f aca="false">'Management MSc'!A25</f>
        <v>w</v>
      </c>
      <c r="B390" s="6" t="str">
        <f aca="false">'Management MSc'!B25</f>
        <v>000-52732</v>
      </c>
      <c r="C390" s="6" t="str">
        <f aca="false">'Management MSc'!C25</f>
        <v>Strategisches HRM Projekt</v>
      </c>
      <c r="D390" s="7" t="n">
        <f aca="false">'Management MSc'!D25</f>
        <v>0</v>
      </c>
      <c r="E390" s="6" t="n">
        <f aca="false">'Management MSc'!E25</f>
        <v>0</v>
      </c>
      <c r="F390" s="6" t="n">
        <f aca="false">'Management MSc'!F25</f>
        <v>0</v>
      </c>
      <c r="G390" s="6" t="str">
        <f aca="false">'Management MSc'!G25</f>
        <v>keine Klausur (Prüfung ist mit dem Lehrenden abzustimmen)</v>
      </c>
      <c r="H390" s="8" t="str">
        <f aca="false">'Management MSc'!H25</f>
        <v>keine Klausur</v>
      </c>
      <c r="I390" s="6" t="str">
        <f aca="false">'Management MSc'!I25</f>
        <v>keine Klausur</v>
      </c>
      <c r="J390" s="6" t="n">
        <f aca="false">'Management MSc'!J25</f>
        <v>0</v>
      </c>
      <c r="K390" s="9" t="str">
        <f aca="false">'Management MSc'!K25</f>
        <v>Rank, Susanne, Frau Prof. Dr. (Prof) - 1.000 SWS;Rohleder, Norbert, Herr Prof. Dr. (Prof) - 3.000 SWS</v>
      </c>
      <c r="L390" s="1" t="n">
        <f aca="false">'IB &amp; IMLA MA'!L13</f>
        <v>0</v>
      </c>
      <c r="M390" s="1" t="n">
        <f aca="false">'IB &amp; IMLA MA'!M13</f>
        <v>0</v>
      </c>
    </row>
    <row r="391" customFormat="false" ht="14.15" hidden="false" customHeight="false" outlineLevel="0" collapsed="false">
      <c r="A391" s="6" t="str">
        <f aca="false">'Management MSc'!A26</f>
        <v>w</v>
      </c>
      <c r="B391" s="6" t="str">
        <f aca="false">'Management MSc'!B26</f>
        <v>000-56734</v>
      </c>
      <c r="C391" s="6" t="str">
        <f aca="false">'Management MSc'!C26</f>
        <v>Sustainable Procurement</v>
      </c>
      <c r="D391" s="7" t="n">
        <f aca="false">'Management MSc'!D26</f>
        <v>0</v>
      </c>
      <c r="E391" s="6" t="n">
        <f aca="false">'Management MSc'!E26</f>
        <v>0</v>
      </c>
      <c r="F391" s="6" t="n">
        <f aca="false">'Management MSc'!F26</f>
        <v>0</v>
      </c>
      <c r="G391" s="6" t="str">
        <f aca="false">'Management MSc'!G26</f>
        <v>keine Klausur (Prüfung ist mit dem Lehrenden abzustimmen)</v>
      </c>
      <c r="H391" s="8" t="str">
        <f aca="false">'Management MSc'!H26</f>
        <v>keine Klausur</v>
      </c>
      <c r="I391" s="6" t="str">
        <f aca="false">'Management MSc'!I26</f>
        <v>keine Klausur</v>
      </c>
      <c r="J391" s="6" t="n">
        <f aca="false">'Management MSc'!J26</f>
        <v>0</v>
      </c>
      <c r="K391" s="9" t="str">
        <f aca="false">'Management MSc'!K26</f>
        <v>Bals, Lydia, Frau Prof. Dr. (Prof) - 4.000 SWS</v>
      </c>
      <c r="L391" s="1" t="n">
        <f aca="false">'IB &amp; IMLA MA'!L14</f>
        <v>0</v>
      </c>
      <c r="M391" s="1" t="n">
        <f aca="false">'IB &amp; IMLA MA'!M14</f>
        <v>0</v>
      </c>
    </row>
    <row r="392" customFormat="false" ht="14.15" hidden="false" customHeight="false" outlineLevel="0" collapsed="false">
      <c r="A392" s="6" t="str">
        <f aca="false">'IB &amp; IMLA MA'!A16</f>
        <v>20252</v>
      </c>
      <c r="B392" s="6" t="str">
        <f aca="false">'IB &amp; IMLA MA'!B16</f>
        <v>964M-102-PE</v>
      </c>
      <c r="C392" s="6" t="str">
        <f aca="false">'IB &amp; IMLA MA'!C16</f>
        <v>Leadership and Human Resource Management</v>
      </c>
      <c r="D392" s="7" t="str">
        <f aca="false">'IB &amp; IMLA MA'!D16</f>
        <v>60151, 52101</v>
      </c>
      <c r="E392" s="6" t="n">
        <f aca="false">'IB &amp; IMLA MA'!E16</f>
        <v>0</v>
      </c>
      <c r="F392" s="6" t="n">
        <f aca="false">'IB &amp; IMLA MA'!F16</f>
        <v>0</v>
      </c>
      <c r="G392" s="6" t="str">
        <f aca="false">'IB &amp; IMLA MA'!G16</f>
        <v>keine Klausur (Prüfung ist mit dem Lehrenden abzustimmen)</v>
      </c>
      <c r="H392" s="8" t="str">
        <f aca="false">'IB &amp; IMLA MA'!H16</f>
        <v>keine Klausur</v>
      </c>
      <c r="I392" s="6" t="str">
        <f aca="false">'IB &amp; IMLA MA'!I16</f>
        <v>keine Klausur</v>
      </c>
      <c r="J392" s="6" t="n">
        <f aca="false">'IB &amp; IMLA MA'!J16</f>
        <v>0</v>
      </c>
      <c r="K392" s="9" t="str">
        <f aca="false">'IB &amp; IMLA MA'!K16</f>
        <v>Christ, Michael, Herr Prof. Dr. (Prof) - 2.000 SWS</v>
      </c>
      <c r="L392" s="1" t="n">
        <f aca="false">'IB &amp; IMLA MA'!L15</f>
        <v>0</v>
      </c>
      <c r="M392" s="1" t="n">
        <f aca="false">'IB &amp; IMLA MA'!M15</f>
        <v>0</v>
      </c>
    </row>
    <row r="393" customFormat="false" ht="14.15" hidden="false" customHeight="false" outlineLevel="0" collapsed="false">
      <c r="A393" s="6" t="str">
        <f aca="false">'IB &amp; IMLA MA'!A17</f>
        <v>20252</v>
      </c>
      <c r="B393" s="6" t="str">
        <f aca="false">'IB &amp; IMLA MA'!B17</f>
        <v>964M-102-PE</v>
      </c>
      <c r="C393" s="6" t="str">
        <f aca="false">'IB &amp; IMLA MA'!C17</f>
        <v>Leadership and Human Resource Management</v>
      </c>
      <c r="D393" s="7" t="str">
        <f aca="false">'IB &amp; IMLA MA'!D17</f>
        <v>60151, 52101</v>
      </c>
      <c r="E393" s="6" t="n">
        <f aca="false">'IB &amp; IMLA MA'!E17</f>
        <v>0</v>
      </c>
      <c r="F393" s="6" t="n">
        <f aca="false">'IB &amp; IMLA MA'!F17</f>
        <v>0</v>
      </c>
      <c r="G393" s="6" t="str">
        <f aca="false">'IB &amp; IMLA MA'!G17</f>
        <v>keine Klausur (Prüfung ist mit dem Lehrenden abzustimmen)</v>
      </c>
      <c r="H393" s="8" t="str">
        <f aca="false">'IB &amp; IMLA MA'!H17</f>
        <v>keine Klausur</v>
      </c>
      <c r="I393" s="6" t="str">
        <f aca="false">'IB &amp; IMLA MA'!I17</f>
        <v>keine Klausur</v>
      </c>
      <c r="J393" s="6" t="n">
        <f aca="false">'IB &amp; IMLA MA'!J17</f>
        <v>0</v>
      </c>
      <c r="K393" s="9" t="str">
        <f aca="false">'IB &amp; IMLA MA'!K17</f>
        <v>Rank, Susanne, Frau Prof. Dr. (Prof) - 2.000 SWS</v>
      </c>
      <c r="L393" s="1" t="n">
        <f aca="false">'IB &amp; IMLA MA'!L16</f>
        <v>0</v>
      </c>
      <c r="M393" s="1" t="n">
        <f aca="false">'IB &amp; IMLA MA'!M16</f>
        <v>0</v>
      </c>
    </row>
    <row r="394" customFormat="false" ht="14.15" hidden="false" customHeight="false" outlineLevel="0" collapsed="false">
      <c r="A394" s="6" t="str">
        <f aca="false">'IB &amp; IMLA MA'!A18</f>
        <v>20252</v>
      </c>
      <c r="B394" s="6" t="str">
        <f aca="false">'IB &amp; IMLA MA'!B18</f>
        <v>B09-60355</v>
      </c>
      <c r="C394" s="6" t="str">
        <f aca="false">'IB &amp; IMLA MA'!C18</f>
        <v>Leadership and Human Resource Management</v>
      </c>
      <c r="D394" s="7" t="str">
        <f aca="false">'IB &amp; IMLA MA'!D18</f>
        <v>60151, 52101</v>
      </c>
      <c r="E394" s="6" t="n">
        <f aca="false">'IB &amp; IMLA MA'!E18</f>
        <v>0</v>
      </c>
      <c r="F394" s="6" t="n">
        <f aca="false">'IB &amp; IMLA MA'!F18</f>
        <v>0</v>
      </c>
      <c r="G394" s="6" t="str">
        <f aca="false">'IB &amp; IMLA MA'!G18</f>
        <v>keine Klausur (Prüfung ist mit dem Lehrenden abzustimmen)</v>
      </c>
      <c r="H394" s="8" t="str">
        <f aca="false">'IB &amp; IMLA MA'!H18</f>
        <v>keine Klausur</v>
      </c>
      <c r="I394" s="6" t="str">
        <f aca="false">'IB &amp; IMLA MA'!I18</f>
        <v>keine Klausur</v>
      </c>
      <c r="J394" s="6" t="n">
        <f aca="false">'IB &amp; IMLA MA'!J18</f>
        <v>0</v>
      </c>
      <c r="K394" s="9" t="str">
        <f aca="false">'IB &amp; IMLA MA'!K18</f>
        <v>Christ, Michael, Herr Prof. Dr. (Prof) - 2.000 SWS</v>
      </c>
      <c r="L394" s="1" t="n">
        <f aca="false">'IB &amp; IMLA MA'!L18</f>
        <v>0</v>
      </c>
      <c r="M394" s="1" t="n">
        <f aca="false">'IB &amp; IMLA MA'!M18</f>
        <v>0</v>
      </c>
    </row>
    <row r="395" customFormat="false" ht="14.15" hidden="false" customHeight="false" outlineLevel="0" collapsed="false">
      <c r="A395" s="6" t="str">
        <f aca="false">'IB &amp; IMLA MA'!A19</f>
        <v>20252</v>
      </c>
      <c r="B395" s="6" t="str">
        <f aca="false">'IB &amp; IMLA MA'!B19</f>
        <v>B09-60355</v>
      </c>
      <c r="C395" s="6" t="str">
        <f aca="false">'IB &amp; IMLA MA'!C19</f>
        <v>Leadership and Human Resource Management</v>
      </c>
      <c r="D395" s="7" t="str">
        <f aca="false">'IB &amp; IMLA MA'!D19</f>
        <v>60151, 52101</v>
      </c>
      <c r="E395" s="6" t="n">
        <f aca="false">'IB &amp; IMLA MA'!E19</f>
        <v>0</v>
      </c>
      <c r="F395" s="6" t="n">
        <f aca="false">'IB &amp; IMLA MA'!F19</f>
        <v>0</v>
      </c>
      <c r="G395" s="6" t="str">
        <f aca="false">'IB &amp; IMLA MA'!G19</f>
        <v>keine Klausur (Prüfung ist mit dem Lehrenden abzustimmen)</v>
      </c>
      <c r="H395" s="8" t="str">
        <f aca="false">'IB &amp; IMLA MA'!H19</f>
        <v>keine Klausur</v>
      </c>
      <c r="I395" s="6" t="str">
        <f aca="false">'IB &amp; IMLA MA'!I19</f>
        <v>keine Klausur</v>
      </c>
      <c r="J395" s="6" t="n">
        <f aca="false">'IB &amp; IMLA MA'!J19</f>
        <v>0</v>
      </c>
      <c r="K395" s="9" t="str">
        <f aca="false">'IB &amp; IMLA MA'!K19</f>
        <v>Rank, Susanne, Frau Prof. Dr. (Prof) - 2.000 SWS</v>
      </c>
      <c r="L395" s="1" t="n">
        <f aca="false">'IB &amp; IMLA MA'!L20</f>
        <v>0</v>
      </c>
      <c r="M395" s="1" t="n">
        <f aca="false">'IB &amp; IMLA MA'!M20</f>
        <v>0</v>
      </c>
    </row>
    <row r="396" customFormat="false" ht="14.15" hidden="false" customHeight="false" outlineLevel="0" collapsed="false">
      <c r="A396" s="6" t="str">
        <f aca="false">'IB &amp; IMLA MA'!A22</f>
        <v>20252</v>
      </c>
      <c r="B396" s="6" t="str">
        <f aca="false">'IB &amp; IMLA MA'!B22</f>
        <v>964M-105-PE</v>
      </c>
      <c r="C396" s="6" t="str">
        <f aca="false">'IB &amp; IMLA MA'!C22</f>
        <v>International Marketing</v>
      </c>
      <c r="D396" s="7" t="str">
        <f aca="false">'IB &amp; IMLA MA'!D22</f>
        <v>B09-60253, 964-60253</v>
      </c>
      <c r="E396" s="6" t="n">
        <f aca="false">'IB &amp; IMLA MA'!E22</f>
        <v>0</v>
      </c>
      <c r="F396" s="6" t="n">
        <f aca="false">'IB &amp; IMLA MA'!F22</f>
        <v>0</v>
      </c>
      <c r="G396" s="6" t="str">
        <f aca="false">'IB &amp; IMLA MA'!G22</f>
        <v>keine Klausur (Prüfung ist mit dem Lehrenden abzustimmen)</v>
      </c>
      <c r="H396" s="8" t="str">
        <f aca="false">'IB &amp; IMLA MA'!H22</f>
        <v>keine Klausur</v>
      </c>
      <c r="I396" s="6" t="str">
        <f aca="false">'IB &amp; IMLA MA'!I22</f>
        <v>keine Klausur</v>
      </c>
      <c r="J396" s="6" t="n">
        <f aca="false">'IB &amp; IMLA MA'!J22</f>
        <v>0</v>
      </c>
      <c r="K396" s="9" t="str">
        <f aca="false">'IB &amp; IMLA MA'!K22</f>
        <v>Hensel, Claudia, Frau Prof. Dr. (Prof) - 4.000 SWS</v>
      </c>
      <c r="L396" s="1" t="n">
        <f aca="false">'IB &amp; IMLA MA'!L22</f>
        <v>0</v>
      </c>
      <c r="M396" s="1" t="n">
        <f aca="false">'IB &amp; IMLA MA'!M22</f>
        <v>0</v>
      </c>
    </row>
    <row r="397" customFormat="false" ht="14.15" hidden="false" customHeight="false" outlineLevel="0" collapsed="false">
      <c r="A397" s="6" t="str">
        <f aca="false">'IB &amp; IMLA MA'!A24</f>
        <v>20252</v>
      </c>
      <c r="B397" s="6" t="str">
        <f aca="false">'IB &amp; IMLA MA'!B24</f>
        <v>F39M-105-PE</v>
      </c>
      <c r="C397" s="6" t="str">
        <f aca="false">'IB &amp; IMLA MA'!C24</f>
        <v>International Marketing</v>
      </c>
      <c r="D397" s="7" t="n">
        <f aca="false">'IB &amp; IMLA MA'!D24</f>
        <v>0</v>
      </c>
      <c r="E397" s="6" t="n">
        <f aca="false">'IB &amp; IMLA MA'!E24</f>
        <v>0</v>
      </c>
      <c r="F397" s="6" t="n">
        <f aca="false">'IB &amp; IMLA MA'!F24</f>
        <v>0</v>
      </c>
      <c r="G397" s="6" t="str">
        <f aca="false">'IB &amp; IMLA MA'!G24</f>
        <v>keine Klausur (Prüfung ist mit dem Lehrenden abzustimmen)</v>
      </c>
      <c r="H397" s="8" t="str">
        <f aca="false">'IB &amp; IMLA MA'!H24</f>
        <v>keine Klausur</v>
      </c>
      <c r="I397" s="6" t="str">
        <f aca="false">'IB &amp; IMLA MA'!I24</f>
        <v>keine Klausur</v>
      </c>
      <c r="J397" s="6" t="n">
        <f aca="false">'IB &amp; IMLA MA'!J24</f>
        <v>0</v>
      </c>
      <c r="K397" s="9" t="str">
        <f aca="false">'IB &amp; IMLA MA'!K24</f>
        <v>Hensel, Claudia, Frau Prof. Dr. (Prof) - 4.000 SWS</v>
      </c>
      <c r="L397" s="1" t="n">
        <f aca="false">'IB &amp; IMLA MA'!L24</f>
        <v>0</v>
      </c>
      <c r="M397" s="1" t="n">
        <f aca="false">'IB &amp; IMLA MA'!M24</f>
        <v>0</v>
      </c>
    </row>
    <row r="398" customFormat="false" ht="26.85" hidden="false" customHeight="false" outlineLevel="0" collapsed="false">
      <c r="A398" s="6" t="str">
        <f aca="false">'IB &amp; IMLA MA'!A32</f>
        <v>w</v>
      </c>
      <c r="B398" s="6" t="str">
        <f aca="false">'IB &amp; IMLA MA'!B32</f>
        <v>B09-60255</v>
      </c>
      <c r="C398" s="6" t="str">
        <f aca="false">'IB &amp; IMLA MA'!C32</f>
        <v>World Economics: Current Issues</v>
      </c>
      <c r="D398" s="6" t="n">
        <f aca="false">'IB &amp; IMLA MA'!D32</f>
        <v>0</v>
      </c>
      <c r="E398" s="6" t="n">
        <f aca="false">'IB &amp; IMLA MA'!E32</f>
        <v>0</v>
      </c>
      <c r="F398" s="6" t="n">
        <f aca="false">'IB &amp; IMLA MA'!F32</f>
        <v>0</v>
      </c>
      <c r="G398" s="6" t="str">
        <f aca="false">'IB &amp; IMLA MA'!G32</f>
        <v>keine Klausur (Prüfung ist mit dem Lehrenden abzustimmen)</v>
      </c>
      <c r="H398" s="8" t="str">
        <f aca="false">'IB &amp; IMLA MA'!H32</f>
        <v>keine Klausur</v>
      </c>
      <c r="I398" s="6" t="str">
        <f aca="false">'IB &amp; IMLA MA'!I32</f>
        <v>keine Klausur</v>
      </c>
      <c r="J398" s="6" t="n">
        <f aca="false">'IB &amp; IMLA MA'!J32</f>
        <v>0</v>
      </c>
      <c r="K398" s="9" t="str">
        <f aca="false">'IB &amp; IMLA MA'!K32</f>
        <v>Schüle, Ulrich, Herr Prof. Dr. (Prof) - 1.000 SWS;Sterbova, Ludmilla, Frau (LBA) - 1.000 SWS</v>
      </c>
      <c r="L398" s="1" t="n">
        <f aca="false">'IB &amp; IMLA MA'!L25</f>
        <v>0</v>
      </c>
      <c r="M398" s="1" t="n">
        <f aca="false">'IB &amp; IMLA MA'!M25</f>
        <v>0</v>
      </c>
    </row>
    <row r="399" customFormat="false" ht="14.15" hidden="false" customHeight="false" outlineLevel="0" collapsed="false">
      <c r="A399" s="6" t="str">
        <f aca="false">'IB &amp; IMLA MA'!A33</f>
        <v>w</v>
      </c>
      <c r="B399" s="6" t="str">
        <f aca="false">'IB &amp; IMLA MA'!B33</f>
        <v>B09-60281</v>
      </c>
      <c r="C399" s="6" t="str">
        <f aca="false">'IB &amp; IMLA MA'!C33</f>
        <v>Castellano y Cultura Argentina B2</v>
      </c>
      <c r="D399" s="6" t="n">
        <f aca="false">'IB &amp; IMLA MA'!D33</f>
        <v>0</v>
      </c>
      <c r="E399" s="6" t="n">
        <f aca="false">'IB &amp; IMLA MA'!E33</f>
        <v>0</v>
      </c>
      <c r="F399" s="6" t="n">
        <f aca="false">'IB &amp; IMLA MA'!F33</f>
        <v>0</v>
      </c>
      <c r="G399" s="6" t="str">
        <f aca="false">'IB &amp; IMLA MA'!G33</f>
        <v>keine Klausur (Prüfung ist mit dem Lehrenden abzustimmen)</v>
      </c>
      <c r="H399" s="8" t="str">
        <f aca="false">'IB &amp; IMLA MA'!H33</f>
        <v>keine Klausur</v>
      </c>
      <c r="I399" s="6" t="str">
        <f aca="false">'IB &amp; IMLA MA'!I33</f>
        <v>keine Klausur</v>
      </c>
      <c r="J399" s="6" t="n">
        <f aca="false">'IB &amp; IMLA MA'!J33</f>
        <v>0</v>
      </c>
      <c r="K399" s="9" t="str">
        <f aca="false">'IB &amp; IMLA MA'!K33</f>
        <v>Garcia Fernandez, Analia Gabriela, Frau (LKfbA) - 4.000 SWS</v>
      </c>
      <c r="L399" s="1" t="n">
        <f aca="false">'IB &amp; IMLA MA'!L27</f>
        <v>0</v>
      </c>
      <c r="M399" s="1" t="n">
        <f aca="false">'IB &amp; IMLA MA'!M27</f>
        <v>0</v>
      </c>
    </row>
    <row r="400" customFormat="false" ht="14.15" hidden="false" customHeight="false" outlineLevel="0" collapsed="false">
      <c r="A400" s="6" t="str">
        <f aca="false">'IB &amp; IMLA MA'!A35</f>
        <v>20252</v>
      </c>
      <c r="B400" s="6" t="str">
        <f aca="false">'IB &amp; IMLA MA'!B35</f>
        <v>964-60380</v>
      </c>
      <c r="C400" s="6" t="str">
        <f aca="false">'IB &amp; IMLA MA'!C35</f>
        <v>Applied Project</v>
      </c>
      <c r="D400" s="6" t="n">
        <f aca="false">'IB &amp; IMLA MA'!D35</f>
        <v>0</v>
      </c>
      <c r="E400" s="6" t="n">
        <f aca="false">'IB &amp; IMLA MA'!E35</f>
        <v>0</v>
      </c>
      <c r="F400" s="6" t="n">
        <f aca="false">'IB &amp; IMLA MA'!F35</f>
        <v>0</v>
      </c>
      <c r="G400" s="6" t="str">
        <f aca="false">'IB &amp; IMLA MA'!G35</f>
        <v>keine Klausur (Prüfung ist mit dem Lehrenden abzustimmen)</v>
      </c>
      <c r="H400" s="8" t="str">
        <f aca="false">'IB &amp; IMLA MA'!H35</f>
        <v>keine Klausur</v>
      </c>
      <c r="I400" s="6" t="str">
        <f aca="false">'IB &amp; IMLA MA'!I35</f>
        <v>keine Klausur</v>
      </c>
      <c r="J400" s="6" t="n">
        <f aca="false">'IB &amp; IMLA MA'!J35</f>
        <v>0</v>
      </c>
      <c r="K400" s="9" t="str">
        <f aca="false">'IB &amp; IMLA MA'!K35</f>
        <v>Porath, Daniel, Herr Prof. Dr. (Prof)</v>
      </c>
      <c r="L400" s="1" t="n">
        <f aca="false">'IB &amp; IMLA MA'!L28</f>
        <v>0</v>
      </c>
      <c r="M400" s="1" t="n">
        <f aca="false">'IB &amp; IMLA MA'!M28</f>
        <v>0</v>
      </c>
    </row>
    <row r="401" customFormat="false" ht="14.15" hidden="false" customHeight="false" outlineLevel="0" collapsed="false">
      <c r="A401" s="6" t="str">
        <f aca="false">'IB &amp; IMLA MA'!A36</f>
        <v>w</v>
      </c>
      <c r="B401" s="6" t="str">
        <f aca="false">'IB &amp; IMLA MA'!B36</f>
        <v>B09-60481</v>
      </c>
      <c r="C401" s="6" t="str">
        <f aca="false">'IB &amp; IMLA MA'!C36</f>
        <v>Applied Project</v>
      </c>
      <c r="D401" s="6" t="n">
        <f aca="false">'IB &amp; IMLA MA'!D36</f>
        <v>0</v>
      </c>
      <c r="E401" s="6" t="n">
        <f aca="false">'IB &amp; IMLA MA'!E36</f>
        <v>0</v>
      </c>
      <c r="F401" s="6" t="n">
        <f aca="false">'IB &amp; IMLA MA'!F36</f>
        <v>0</v>
      </c>
      <c r="G401" s="6" t="str">
        <f aca="false">'IB &amp; IMLA MA'!G36</f>
        <v>keine Klausur (Prüfung ist mit dem Lehrenden abzustimmen)</v>
      </c>
      <c r="H401" s="8" t="str">
        <f aca="false">'IB &amp; IMLA MA'!H36</f>
        <v>keine Klausur</v>
      </c>
      <c r="I401" s="6" t="str">
        <f aca="false">'IB &amp; IMLA MA'!I36</f>
        <v>keine Klausur</v>
      </c>
      <c r="J401" s="6" t="n">
        <f aca="false">'IB &amp; IMLA MA'!J36</f>
        <v>0</v>
      </c>
      <c r="K401" s="9" t="str">
        <f aca="false">'IB &amp; IMLA MA'!K36</f>
        <v>Porath, Daniel, Herr Prof. Dr. (Prof)</v>
      </c>
      <c r="L401" s="1" t="n">
        <f aca="false">'IB &amp; IMLA MA'!L29</f>
        <v>0</v>
      </c>
      <c r="M401" s="1" t="n">
        <f aca="false">'IB &amp; IMLA MA'!M29</f>
        <v>0</v>
      </c>
    </row>
    <row r="402" customFormat="false" ht="14.15" hidden="false" customHeight="false" outlineLevel="0" collapsed="false">
      <c r="A402" s="6" t="str">
        <f aca="false">'IB &amp; IMLA MA'!A37</f>
        <v>20252</v>
      </c>
      <c r="B402" s="6" t="str">
        <f aca="false">'IB &amp; IMLA MA'!B37</f>
        <v>B09-60351</v>
      </c>
      <c r="C402" s="6" t="str">
        <f aca="false">'IB &amp; IMLA MA'!C37</f>
        <v>Business Simulation</v>
      </c>
      <c r="D402" s="6" t="n">
        <f aca="false">'IB &amp; IMLA MA'!D37</f>
        <v>0</v>
      </c>
      <c r="E402" s="6" t="n">
        <f aca="false">'IB &amp; IMLA MA'!E37</f>
        <v>0</v>
      </c>
      <c r="F402" s="6" t="n">
        <f aca="false">'IB &amp; IMLA MA'!F37</f>
        <v>0</v>
      </c>
      <c r="G402" s="6" t="str">
        <f aca="false">'IB &amp; IMLA MA'!G37</f>
        <v>keine Klausur (Prüfung ist mit dem Lehrenden abzustimmen)</v>
      </c>
      <c r="H402" s="8" t="str">
        <f aca="false">'IB &amp; IMLA MA'!H37</f>
        <v>keine Klausur</v>
      </c>
      <c r="I402" s="6" t="str">
        <f aca="false">'IB &amp; IMLA MA'!I37</f>
        <v>keine Klausur</v>
      </c>
      <c r="J402" s="6" t="n">
        <f aca="false">'IB &amp; IMLA MA'!J37</f>
        <v>0</v>
      </c>
      <c r="K402" s="9" t="str">
        <f aca="false">'IB &amp; IMLA MA'!K37</f>
        <v>Rathje, Britta, Frau Prof. Dr. (Prof) - 3.000 SWS</v>
      </c>
      <c r="L402" s="1" t="n">
        <f aca="false">'IB &amp; IMLA MA'!L30</f>
        <v>0</v>
      </c>
      <c r="M402" s="1" t="n">
        <f aca="false">'IB &amp; IMLA MA'!M30</f>
        <v>0</v>
      </c>
    </row>
    <row r="403" customFormat="false" ht="14.15" hidden="false" customHeight="false" outlineLevel="0" collapsed="false">
      <c r="A403" s="6" t="str">
        <f aca="false">'IB &amp; IMLA MA'!A38</f>
        <v>20252</v>
      </c>
      <c r="B403" s="6" t="str">
        <f aca="false">'IB &amp; IMLA MA'!B38</f>
        <v>B09-60362</v>
      </c>
      <c r="C403" s="9" t="str">
        <f aca="false">'IB &amp; IMLA MA'!C38</f>
        <v>América Latina: Historia y Economía Política</v>
      </c>
      <c r="D403" s="6" t="n">
        <f aca="false">'IB &amp; IMLA MA'!D38</f>
        <v>0</v>
      </c>
      <c r="E403" s="6" t="n">
        <f aca="false">'IB &amp; IMLA MA'!E38</f>
        <v>0</v>
      </c>
      <c r="F403" s="6" t="n">
        <f aca="false">'IB &amp; IMLA MA'!F38</f>
        <v>0</v>
      </c>
      <c r="G403" s="6" t="str">
        <f aca="false">'IB &amp; IMLA MA'!G38</f>
        <v>keine Klausur (Prüfung ist mit dem Lehrenden abzustimmen)</v>
      </c>
      <c r="H403" s="8" t="str">
        <f aca="false">'IB &amp; IMLA MA'!H38</f>
        <v>keine Klausur</v>
      </c>
      <c r="I403" s="6" t="str">
        <f aca="false">'IB &amp; IMLA MA'!I38</f>
        <v>keine Klausur</v>
      </c>
      <c r="J403" s="6" t="n">
        <f aca="false">'IB &amp; IMLA MA'!J38</f>
        <v>0</v>
      </c>
      <c r="K403" s="9" t="str">
        <f aca="false">'IB &amp; IMLA MA'!K38</f>
        <v>Reynier Pérez Hernández, Herr (LKfbA) - 2.000 SWS</v>
      </c>
      <c r="L403" s="1" t="n">
        <f aca="false">'IB &amp; IMLA MA'!L31</f>
        <v>0</v>
      </c>
      <c r="M403" s="1" t="n">
        <f aca="false">'IB &amp; IMLA MA'!M31</f>
        <v>0</v>
      </c>
    </row>
    <row r="404" customFormat="false" ht="14.15" hidden="false" customHeight="false" outlineLevel="0" collapsed="false">
      <c r="A404" s="6" t="str">
        <f aca="false">'IB &amp; IMLA MA'!A40</f>
        <v>20252</v>
      </c>
      <c r="B404" s="6" t="str">
        <f aca="false">'IB &amp; IMLA MA'!B40</f>
        <v>B09-60381</v>
      </c>
      <c r="C404" s="9" t="str">
        <f aca="false">'IB &amp; IMLA MA'!C40</f>
        <v>Castellano y Cultura Argentina B2.2</v>
      </c>
      <c r="D404" s="7" t="str">
        <f aca="false">'IB &amp; IMLA MA'!D40</f>
        <v>001-901325</v>
      </c>
      <c r="E404" s="6" t="n">
        <f aca="false">'IB &amp; IMLA MA'!E40</f>
        <v>0</v>
      </c>
      <c r="F404" s="6" t="n">
        <f aca="false">'IB &amp; IMLA MA'!F40</f>
        <v>0</v>
      </c>
      <c r="G404" s="6" t="str">
        <f aca="false">'IB &amp; IMLA MA'!G40</f>
        <v>keine Klausur (Prüfung ist mit dem Lehrenden abzustimmen)</v>
      </c>
      <c r="H404" s="8" t="str">
        <f aca="false">'IB &amp; IMLA MA'!H40</f>
        <v>keine Klausur</v>
      </c>
      <c r="I404" s="6" t="str">
        <f aca="false">'IB &amp; IMLA MA'!I40</f>
        <v>keine Klausur</v>
      </c>
      <c r="J404" s="6" t="n">
        <f aca="false">'IB &amp; IMLA MA'!J40</f>
        <v>0</v>
      </c>
      <c r="K404" s="9" t="str">
        <f aca="false">'IB &amp; IMLA MA'!K40</f>
        <v>Garcia Fernandez, Analia Gabriela, Frau (LKfbA) - 4.000 SWS</v>
      </c>
      <c r="L404" s="1" t="n">
        <f aca="false">'IB &amp; IMLA MA'!L32</f>
        <v>0</v>
      </c>
      <c r="M404" s="1" t="n">
        <f aca="false">'IB &amp; IMLA MA'!M32</f>
        <v>0</v>
      </c>
    </row>
    <row r="405" customFormat="false" ht="26.85" hidden="false" customHeight="false" outlineLevel="0" collapsed="false">
      <c r="A405" s="6" t="str">
        <f aca="false">'IB &amp; IMLA MA'!A41</f>
        <v>20252</v>
      </c>
      <c r="B405" s="6" t="str">
        <f aca="false">'IB &amp; IMLA MA'!B41</f>
        <v>B09-60382</v>
      </c>
      <c r="C405" s="9" t="str">
        <f aca="false">'IB &amp; IMLA MA'!C41</f>
        <v>Castellano y Cultura Argentina C1</v>
      </c>
      <c r="D405" s="7" t="str">
        <f aca="false">'IB &amp; IMLA MA'!D41</f>
        <v>001-901405</v>
      </c>
      <c r="E405" s="6" t="n">
        <f aca="false">'IB &amp; IMLA MA'!E41</f>
        <v>5</v>
      </c>
      <c r="F405" s="6" t="n">
        <f aca="false">'IB &amp; IMLA MA'!F41</f>
        <v>0</v>
      </c>
      <c r="G405" s="6" t="str">
        <f aca="false">'IB &amp; IMLA MA'!G41</f>
        <v>keine Klausur (Prüfung ist mit dem Lehrenden abzustimmen)</v>
      </c>
      <c r="H405" s="8" t="str">
        <f aca="false">'IB &amp; IMLA MA'!H41</f>
        <v>keine Klausur</v>
      </c>
      <c r="I405" s="6" t="str">
        <f aca="false">'IB &amp; IMLA MA'!I41</f>
        <v>keine Klausur</v>
      </c>
      <c r="J405" s="6" t="n">
        <f aca="false">'IB &amp; IMLA MA'!J41</f>
        <v>0</v>
      </c>
      <c r="K405" s="9" t="str">
        <f aca="false">'IB &amp; IMLA MA'!K41</f>
        <v>Rete, Oscar Miguel, Herr (LBA - 2.000 SWS;Garcia Fernandez, Analia Gabriela, Frau (LKfbA) - 2.000 SWS</v>
      </c>
      <c r="L405" s="1" t="n">
        <f aca="false">'IB &amp; IMLA MA'!L33</f>
        <v>0</v>
      </c>
      <c r="M405" s="1" t="n">
        <f aca="false">'IB &amp; IMLA MA'!M33</f>
        <v>0</v>
      </c>
    </row>
    <row r="406" customFormat="false" ht="14.15" hidden="false" customHeight="false" outlineLevel="0" collapsed="false">
      <c r="A406" s="6" t="str">
        <f aca="false">'IMFA MSc'!A4</f>
        <v>20252</v>
      </c>
      <c r="B406" s="6" t="str">
        <f aca="false">'IMFA MSc'!B4</f>
        <v>F43M-303-P</v>
      </c>
      <c r="C406" s="9" t="str">
        <f aca="false">'IMFA MSc'!C4</f>
        <v>Projektstudien Personalmanagement</v>
      </c>
      <c r="D406" s="7" t="n">
        <f aca="false">'IMFA MSc'!D4</f>
        <v>0</v>
      </c>
      <c r="E406" s="6" t="n">
        <f aca="false">'IMFA MSc'!E4</f>
        <v>0</v>
      </c>
      <c r="F406" s="6" t="n">
        <f aca="false">'IMFA MSc'!F4</f>
        <v>0</v>
      </c>
      <c r="G406" s="6" t="str">
        <f aca="false">'IMFA MSc'!G4</f>
        <v>keine Klausur (Prüfung ist mit dem Lehrenden abzustimmen)</v>
      </c>
      <c r="H406" s="8" t="str">
        <f aca="false">'IMFA MSc'!H4</f>
        <v>keine Klausur</v>
      </c>
      <c r="I406" s="6" t="str">
        <f aca="false">'IMFA MSc'!I4</f>
        <v>keine Klausur</v>
      </c>
      <c r="J406" s="6" t="n">
        <f aca="false">'IMFA MSc'!J4</f>
        <v>0</v>
      </c>
      <c r="K406" s="9" t="str">
        <f aca="false">'IMFA MSc'!K4</f>
        <v>Rohleder, Norbert, Herr Prof. Dr. (Prof) - 3.000 SWS</v>
      </c>
    </row>
    <row r="407" customFormat="false" ht="14.15" hidden="false" customHeight="false" outlineLevel="0" collapsed="false">
      <c r="A407" s="6" t="str">
        <f aca="false">'IMFA MSc'!A9</f>
        <v>w</v>
      </c>
      <c r="B407" s="6" t="str">
        <f aca="false">'IMFA MSc'!B9</f>
        <v>B15-60401</v>
      </c>
      <c r="C407" s="9" t="str">
        <f aca="false">'IMFA MSc'!C9</f>
        <v>Internationale Wirtschaft im deutsch-französischen Rahmen</v>
      </c>
      <c r="D407" s="6" t="n">
        <f aca="false">'IMFA MSc'!D9</f>
        <v>0</v>
      </c>
      <c r="E407" s="6" t="n">
        <f aca="false">'IMFA MSc'!E9</f>
        <v>0</v>
      </c>
      <c r="F407" s="6" t="n">
        <f aca="false">'IMFA MSc'!F9</f>
        <v>0</v>
      </c>
      <c r="G407" s="6" t="str">
        <f aca="false">'IMFA MSc'!G9</f>
        <v>keine Klausur (Prüfung ist mit dem Lehrenden abzustimmen)</v>
      </c>
      <c r="H407" s="8" t="str">
        <f aca="false">'IMFA MSc'!H9</f>
        <v>keine Klausur</v>
      </c>
      <c r="I407" s="6" t="str">
        <f aca="false">'IMFA MSc'!I9</f>
        <v>keine Klausur</v>
      </c>
      <c r="J407" s="6" t="n">
        <f aca="false">'IMFA MSc'!J9</f>
        <v>0</v>
      </c>
      <c r="K407" s="9" t="str">
        <f aca="false">'IMFA MSc'!K9</f>
        <v>Schrank, Randolf, Herr Prof. Dr. (Prof) - 3.000 SWS</v>
      </c>
    </row>
    <row r="408" customFormat="false" ht="14.15" hidden="false" customHeight="false" outlineLevel="0" collapsed="false">
      <c r="A408" s="6" t="str">
        <f aca="false">'BA MSc'!A2</f>
        <v>20252</v>
      </c>
      <c r="B408" s="6" t="str">
        <f aca="false">'BA MSc'!B2</f>
        <v>A23-60106</v>
      </c>
      <c r="C408" s="9" t="str">
        <f aca="false">'BA MSc'!C2</f>
        <v>Unternehmensprojekt Personalmanagement</v>
      </c>
      <c r="D408" s="6" t="n">
        <f aca="false">'BA MSc'!D2</f>
        <v>70338</v>
      </c>
      <c r="E408" s="6" t="n">
        <f aca="false">'BA MSc'!E2</f>
        <v>0</v>
      </c>
      <c r="F408" s="6" t="n">
        <f aca="false">'BA MSc'!F2</f>
        <v>0</v>
      </c>
      <c r="G408" s="6" t="str">
        <f aca="false">'BA MSc'!G2</f>
        <v>keine Klausur (Prüfung ist mit dem Lehrenden abzustimmen)</v>
      </c>
      <c r="H408" s="8" t="str">
        <f aca="false">'BA MSc'!H2</f>
        <v>keine Klausur</v>
      </c>
      <c r="I408" s="6" t="str">
        <f aca="false">'BA MSc'!I2</f>
        <v>keine Klausur</v>
      </c>
      <c r="J408" s="6" t="n">
        <f aca="false">'BA MSc'!J2</f>
        <v>0</v>
      </c>
      <c r="K408" s="9" t="str">
        <f aca="false">'BA MSc'!K2</f>
        <v>Person, Kopie, Frau (ADMIN) - SWS</v>
      </c>
      <c r="L408" s="1" t="n">
        <f aca="false">'IB &amp; IMLA MA'!L35</f>
        <v>0</v>
      </c>
      <c r="M408" s="1" t="n">
        <f aca="false">'IB &amp; IMLA MA'!M35</f>
        <v>0</v>
      </c>
    </row>
    <row r="409" customFormat="false" ht="26.85" hidden="false" customHeight="false" outlineLevel="0" collapsed="false">
      <c r="A409" s="6" t="str">
        <f aca="false">'BA MSc'!A3</f>
        <v>20252</v>
      </c>
      <c r="B409" s="6" t="str">
        <f aca="false">'BA MSc'!B3</f>
        <v>A23-70102</v>
      </c>
      <c r="C409" s="9" t="str">
        <f aca="false">'BA MSc'!C3</f>
        <v>Personalmanagement &amp; Organisation</v>
      </c>
      <c r="D409" s="6" t="n">
        <f aca="false">'BA MSc'!D3</f>
        <v>60102</v>
      </c>
      <c r="E409" s="6" t="n">
        <f aca="false">'BA MSc'!E3</f>
        <v>0</v>
      </c>
      <c r="F409" s="6" t="n">
        <f aca="false">'BA MSc'!F3</f>
        <v>0</v>
      </c>
      <c r="G409" s="6" t="str">
        <f aca="false">'BA MSc'!G3</f>
        <v>keine Klausur (Prüfung ist mit dem Lehrenden abzustimmen)</v>
      </c>
      <c r="H409" s="8" t="str">
        <f aca="false">'BA MSc'!H3</f>
        <v>keine Klausur</v>
      </c>
      <c r="I409" s="6" t="str">
        <f aca="false">'BA MSc'!I3</f>
        <v>keine Klausur</v>
      </c>
      <c r="J409" s="6" t="n">
        <f aca="false">'BA MSc'!J3</f>
        <v>0</v>
      </c>
      <c r="K409" s="9" t="str">
        <f aca="false">'BA MSc'!K3</f>
        <v>Rohleder, Norbert, Herr Prof. Dr. (Prof) - 2.500 SWS;Sieweke, Laura, Frau (LBA) - 0.500 SWS</v>
      </c>
      <c r="L409" s="1" t="n">
        <f aca="false">'IB &amp; IMLA MA'!L36</f>
        <v>0</v>
      </c>
      <c r="M409" s="1" t="n">
        <f aca="false">'IB &amp; IMLA MA'!M36</f>
        <v>0</v>
      </c>
    </row>
    <row r="410" customFormat="false" ht="26.85" hidden="false" customHeight="false" outlineLevel="0" collapsed="false">
      <c r="A410" s="6" t="str">
        <f aca="false">'BA MSc'!A5</f>
        <v>20252</v>
      </c>
      <c r="B410" s="6" t="str">
        <f aca="false">'BA MSc'!B5</f>
        <v>A23-70104</v>
      </c>
      <c r="C410" s="9" t="str">
        <f aca="false">'BA MSc'!C5</f>
        <v>Rechtliche Rahmenbedingungen unternehmerischer Entscheidungen</v>
      </c>
      <c r="D410" s="6" t="n">
        <f aca="false">'BA MSc'!D5</f>
        <v>60104</v>
      </c>
      <c r="E410" s="6" t="n">
        <f aca="false">'BA MSc'!E5</f>
        <v>0</v>
      </c>
      <c r="F410" s="6" t="n">
        <f aca="false">'BA MSc'!F5</f>
        <v>0</v>
      </c>
      <c r="G410" s="6" t="str">
        <f aca="false">'BA MSc'!G5</f>
        <v>keine Klausur (Prüfung ist mit dem Lehrenden abzustimmen)</v>
      </c>
      <c r="H410" s="8" t="str">
        <f aca="false">'BA MSc'!H5</f>
        <v>keine Klausur</v>
      </c>
      <c r="I410" s="6" t="str">
        <f aca="false">'BA MSc'!I5</f>
        <v>keine Klausur</v>
      </c>
      <c r="J410" s="6" t="n">
        <f aca="false">'BA MSc'!J5</f>
        <v>0</v>
      </c>
      <c r="K410" s="9" t="str">
        <f aca="false">'BA MSc'!K5</f>
        <v>Meißner, Martin, Herr Prof. Dr. (Prof) - 4.000 SWS</v>
      </c>
      <c r="L410" s="1" t="n">
        <f aca="false">'IB &amp; IMLA MA'!L37</f>
        <v>0</v>
      </c>
      <c r="M410" s="1" t="n">
        <f aca="false">'IB &amp; IMLA MA'!M37</f>
        <v>0</v>
      </c>
    </row>
    <row r="411" customFormat="false" ht="14.15" hidden="false" customHeight="false" outlineLevel="0" collapsed="false">
      <c r="A411" s="6" t="str">
        <f aca="false">'BA MSc'!A9</f>
        <v>20252</v>
      </c>
      <c r="B411" s="6" t="str">
        <f aca="false">'BA MSc'!B9</f>
        <v>A23-60207</v>
      </c>
      <c r="C411" s="9" t="str">
        <f aca="false">'BA MSc'!C9</f>
        <v>Unternehmensprojekt Marketing</v>
      </c>
      <c r="D411" s="6" t="n">
        <f aca="false">'BA MSc'!D9</f>
        <v>70318</v>
      </c>
      <c r="E411" s="6" t="n">
        <f aca="false">'BA MSc'!E9</f>
        <v>0</v>
      </c>
      <c r="F411" s="6" t="n">
        <f aca="false">'BA MSc'!F9</f>
        <v>0</v>
      </c>
      <c r="G411" s="6" t="str">
        <f aca="false">'BA MSc'!G9</f>
        <v>keine Klausur (Prüfung ist mit dem Lehrenden abzustimmen)</v>
      </c>
      <c r="H411" s="8" t="str">
        <f aca="false">'BA MSc'!H9</f>
        <v>keine Klausur</v>
      </c>
      <c r="I411" s="6" t="str">
        <f aca="false">'BA MSc'!I9</f>
        <v>keine Klausur</v>
      </c>
      <c r="J411" s="6" t="n">
        <f aca="false">'BA MSc'!J9</f>
        <v>0</v>
      </c>
      <c r="K411" s="9" t="str">
        <f aca="false">'BA MSc'!K9</f>
        <v>Redler, Jörn, Herr Prof. Dr. (Prof) - 0.500 SWS</v>
      </c>
      <c r="L411" s="1" t="n">
        <f aca="false">'IB &amp; IMLA MA'!L38</f>
        <v>0</v>
      </c>
      <c r="M411" s="1" t="n">
        <f aca="false">'IB &amp; IMLA MA'!M38</f>
        <v>0</v>
      </c>
    </row>
    <row r="412" customFormat="false" ht="14.15" hidden="false" customHeight="false" outlineLevel="0" collapsed="false">
      <c r="A412" s="6" t="str">
        <f aca="false">'BA MSc'!A10</f>
        <v>w</v>
      </c>
      <c r="B412" s="6" t="str">
        <f aca="false">'BA MSc'!B10</f>
        <v>A23-60207</v>
      </c>
      <c r="C412" s="9" t="str">
        <f aca="false">'BA MSc'!C10</f>
        <v>Unternehmensprojekt Marketing</v>
      </c>
      <c r="D412" s="6" t="n">
        <f aca="false">'BA MSc'!D10</f>
        <v>70318</v>
      </c>
      <c r="E412" s="6" t="n">
        <f aca="false">'BA MSc'!E10</f>
        <v>0</v>
      </c>
      <c r="F412" s="6" t="n">
        <f aca="false">'BA MSc'!F10</f>
        <v>0</v>
      </c>
      <c r="G412" s="6" t="str">
        <f aca="false">'BA MSc'!G10</f>
        <v>keine Klausur (Prüfung ist mit dem Lehrenden abzustimmen)</v>
      </c>
      <c r="H412" s="8" t="str">
        <f aca="false">'BA MSc'!H10</f>
        <v>keine Klausur</v>
      </c>
      <c r="I412" s="6" t="str">
        <f aca="false">'BA MSc'!I10</f>
        <v>keine Klausur</v>
      </c>
      <c r="J412" s="6" t="n">
        <f aca="false">'BA MSc'!J10</f>
        <v>0</v>
      </c>
      <c r="K412" s="9" t="str">
        <f aca="false">'BA MSc'!K10</f>
        <v>Redler, Jörn, Herr Prof. Dr. (Prof) - 1.000 SWS</v>
      </c>
      <c r="L412" s="1" t="n">
        <f aca="false">'IB &amp; IMLA MA'!L39</f>
        <v>0</v>
      </c>
      <c r="M412" s="1" t="n">
        <f aca="false">'IB &amp; IMLA MA'!M39</f>
        <v>0</v>
      </c>
    </row>
    <row r="413" customFormat="false" ht="14.15" hidden="false" customHeight="false" outlineLevel="0" collapsed="false">
      <c r="A413" s="6" t="str">
        <f aca="false">'BA MSc'!A16</f>
        <v>w</v>
      </c>
      <c r="B413" s="6" t="str">
        <f aca="false">'BA MSc'!B16</f>
        <v>A23-70205</v>
      </c>
      <c r="C413" s="9" t="str">
        <f aca="false">'BA MSc'!C16</f>
        <v>Projektmanagement</v>
      </c>
      <c r="D413" s="7" t="n">
        <f aca="false">'BA MSc'!D16</f>
        <v>60205</v>
      </c>
      <c r="E413" s="6" t="n">
        <f aca="false">'BA MSc'!E16</f>
        <v>0</v>
      </c>
      <c r="F413" s="6" t="n">
        <f aca="false">'BA MSc'!F16</f>
        <v>0</v>
      </c>
      <c r="G413" s="6" t="str">
        <f aca="false">'BA MSc'!G16</f>
        <v>keine Klausur (Prüfung ist mit dem Lehrenden abzustimmen)</v>
      </c>
      <c r="H413" s="8" t="str">
        <f aca="false">'BA MSc'!H16</f>
        <v>keine Klausur</v>
      </c>
      <c r="I413" s="6" t="str">
        <f aca="false">'BA MSc'!I16</f>
        <v>keine Klausur</v>
      </c>
      <c r="J413" s="6" t="n">
        <f aca="false">'BA MSc'!J16</f>
        <v>0</v>
      </c>
      <c r="K413" s="9" t="str">
        <f aca="false">'BA MSc'!K16</f>
        <v>Kowalczyk, Martin, Herr Prof. Dr. (Prof) - 2.000 SWS</v>
      </c>
      <c r="L413" s="1" t="n">
        <f aca="false">'IB &amp; IMLA MA'!L40</f>
        <v>0</v>
      </c>
      <c r="M413" s="1" t="n">
        <f aca="false">'IB &amp; IMLA MA'!M40</f>
        <v>0</v>
      </c>
    </row>
    <row r="414" customFormat="false" ht="14.15" hidden="false" customHeight="false" outlineLevel="0" collapsed="false">
      <c r="A414" s="6" t="str">
        <f aca="false">'BA MSc'!A17</f>
        <v>20252</v>
      </c>
      <c r="B414" s="6" t="str">
        <f aca="false">'BA MSc'!B17</f>
        <v>A23-70301</v>
      </c>
      <c r="C414" s="9" t="str">
        <f aca="false">'BA MSc'!C17</f>
        <v>Unternehmensplanspiel (Blockwo. vor Sem.beginn)</v>
      </c>
      <c r="D414" s="7" t="str">
        <f aca="false">'BA MSc'!D17</f>
        <v>60301, 52304</v>
      </c>
      <c r="E414" s="6" t="n">
        <f aca="false">'BA MSc'!E17</f>
        <v>0</v>
      </c>
      <c r="F414" s="6" t="n">
        <f aca="false">'BA MSc'!F17</f>
        <v>0</v>
      </c>
      <c r="G414" s="6" t="str">
        <f aca="false">'BA MSc'!G17</f>
        <v>keine Klausur (Prüfung ist mit dem Lehrenden abzustimmen)</v>
      </c>
      <c r="H414" s="8" t="str">
        <f aca="false">'BA MSc'!H17</f>
        <v>keine Klausur</v>
      </c>
      <c r="I414" s="6" t="str">
        <f aca="false">'BA MSc'!I17</f>
        <v>keine Klausur</v>
      </c>
      <c r="J414" s="6" t="n">
        <f aca="false">'BA MSc'!J17</f>
        <v>0</v>
      </c>
      <c r="K414" s="9" t="str">
        <f aca="false">'BA MSc'!K17</f>
        <v>Fischbach, Sven, Herr Prof. Dr. (Prof) - 3.000 SWS</v>
      </c>
      <c r="L414" s="1" t="n">
        <f aca="false">'IB &amp; IMLA MA'!L41</f>
        <v>0</v>
      </c>
      <c r="M414" s="1" t="n">
        <f aca="false">'IB &amp; IMLA MA'!M41</f>
        <v>0</v>
      </c>
    </row>
    <row r="415" customFormat="false" ht="14.15" hidden="false" customHeight="false" outlineLevel="0" collapsed="false">
      <c r="A415" s="6" t="str">
        <f aca="false">'BA MSc'!A21</f>
        <v>20252</v>
      </c>
      <c r="B415" s="6" t="str">
        <f aca="false">'BA MSc'!B21</f>
        <v>A23-60306</v>
      </c>
      <c r="C415" s="9" t="str">
        <f aca="false">'BA MSc'!C21</f>
        <v>Unternehmensprojekt Controlling</v>
      </c>
      <c r="D415" s="7" t="n">
        <f aca="false">'BA MSc'!D21</f>
        <v>70348</v>
      </c>
      <c r="E415" s="6" t="n">
        <f aca="false">'BA MSc'!E21</f>
        <v>0</v>
      </c>
      <c r="F415" s="6" t="n">
        <f aca="false">'BA MSc'!F21</f>
        <v>0</v>
      </c>
      <c r="G415" s="6" t="str">
        <f aca="false">'BA MSc'!G21</f>
        <v>keine Klausur (Prüfung ist mit dem Lehrenden abzustimmen)</v>
      </c>
      <c r="H415" s="8" t="str">
        <f aca="false">'BA MSc'!H21</f>
        <v>keine Klausur</v>
      </c>
      <c r="I415" s="6" t="str">
        <f aca="false">'BA MSc'!I21</f>
        <v>keine Klausur</v>
      </c>
      <c r="J415" s="6" t="n">
        <f aca="false">'BA MSc'!J21</f>
        <v>0</v>
      </c>
      <c r="K415" s="9" t="str">
        <f aca="false">'BA MSc'!K21</f>
        <v>Fischbach, Sven, Herr Prof. Dr. (Prof) - 1.000 SWS</v>
      </c>
      <c r="L415" s="1" t="n">
        <f aca="false">'IMFA MSc'!L2</f>
        <v>0</v>
      </c>
      <c r="M415" s="1" t="n">
        <f aca="false">'IMFA MSc'!M2</f>
        <v>0</v>
      </c>
    </row>
    <row r="416" customFormat="false" ht="14.15" hidden="false" customHeight="false" outlineLevel="0" collapsed="false">
      <c r="A416" s="6" t="str">
        <f aca="false">'BA MSc'!A24</f>
        <v>20251</v>
      </c>
      <c r="B416" s="6" t="str">
        <f aca="false">'BA MSc'!B24</f>
        <v>A23-60481</v>
      </c>
      <c r="C416" s="9" t="str">
        <f aca="false">'BA MSc'!C24</f>
        <v>Internationale Exkursion und Management Seminar</v>
      </c>
      <c r="D416" s="6" t="n">
        <f aca="false">'BA MSc'!D24</f>
        <v>70481</v>
      </c>
      <c r="E416" s="6" t="n">
        <f aca="false">'BA MSc'!E24</f>
        <v>0</v>
      </c>
      <c r="F416" s="6" t="n">
        <f aca="false">'BA MSc'!F24</f>
        <v>0</v>
      </c>
      <c r="G416" s="6" t="str">
        <f aca="false">'BA MSc'!G24</f>
        <v>keine Klausur (Prüfung ist mit dem Lehrenden abzustimmen)</v>
      </c>
      <c r="H416" s="8" t="str">
        <f aca="false">'BA MSc'!H24</f>
        <v>keine Klausur</v>
      </c>
      <c r="I416" s="6" t="str">
        <f aca="false">'BA MSc'!I24</f>
        <v>keine Klausur</v>
      </c>
      <c r="J416" s="6" t="n">
        <f aca="false">'BA MSc'!J24</f>
        <v>0</v>
      </c>
      <c r="K416" s="9" t="str">
        <f aca="false">'BA MSc'!K24</f>
        <v>Rohleder, Norbert, Herr Prof. Dr. (Prof) - 2.000 SWS</v>
      </c>
      <c r="L416" s="1" t="n">
        <f aca="false">'IMFA MSc'!L3</f>
        <v>0</v>
      </c>
      <c r="M416" s="1" t="n">
        <f aca="false">'IMFA MSc'!M3</f>
        <v>0</v>
      </c>
    </row>
    <row r="417" customFormat="false" ht="13.8" hidden="false" customHeight="false" outlineLevel="0" collapsed="false">
      <c r="A417" s="6" t="str">
        <f aca="false">'IB &amp; IMLA MA'!A23</f>
        <v>w</v>
      </c>
      <c r="B417" s="6" t="str">
        <f aca="false">'IB &amp; IMLA MA'!B23</f>
        <v>964-60253</v>
      </c>
      <c r="C417" s="6" t="str">
        <f aca="false">'IB &amp; IMLA MA'!C23</f>
        <v>International Marketing</v>
      </c>
      <c r="D417" s="7" t="str">
        <f aca="false">'IB &amp; IMLA MA'!D23</f>
        <v>964M-105-PE</v>
      </c>
      <c r="E417" s="6" t="n">
        <f aca="false">'IB &amp; IMLA MA'!E23</f>
        <v>0</v>
      </c>
      <c r="F417" s="6" t="n">
        <f aca="false">'IB &amp; IMLA MA'!F23</f>
        <v>0</v>
      </c>
      <c r="G417" s="6" t="str">
        <f aca="false">'IB &amp; IMLA MA'!G23</f>
        <v>keine Klausur (Prüfung ist mit dem Lehrenden abzustimmen)</v>
      </c>
      <c r="H417" s="6" t="str">
        <f aca="false">'IB &amp; IMLA MA'!H23</f>
        <v>keine Klausur</v>
      </c>
      <c r="I417" s="6" t="str">
        <f aca="false">'IB &amp; IMLA MA'!I23</f>
        <v>keine Klausur</v>
      </c>
      <c r="J417" s="6" t="n">
        <f aca="false">'IB &amp; IMLA MA'!J23</f>
        <v>0</v>
      </c>
      <c r="K417" s="6" t="str">
        <f aca="false">'IB &amp; IMLA MA'!K23</f>
        <v>Hensel, Claudia, Frau Prof. Dr. (Prof) - 4.000 SWS</v>
      </c>
      <c r="L417" s="1" t="n">
        <f aca="false">'IMFA MSc'!L4</f>
        <v>0</v>
      </c>
      <c r="M417" s="1" t="n">
        <f aca="false">'IMFA MSc'!M4</f>
        <v>0</v>
      </c>
    </row>
    <row r="418" customFormat="false" ht="26.85" hidden="false" customHeight="false" outlineLevel="0" collapsed="false">
      <c r="A418" s="6" t="str">
        <f aca="false">'WR LLB'!A53</f>
        <v>20252</v>
      </c>
      <c r="B418" s="6" t="str">
        <f aca="false">'WR LLB'!B53</f>
        <v>932-2511 (A)</v>
      </c>
      <c r="C418" s="6" t="str">
        <f aca="false">'WR LLB'!C53</f>
        <v>Blockseminar Rewi II - Wirtschaftsprivatrecht</v>
      </c>
      <c r="D418" s="6" t="n">
        <f aca="false">'WR LLB'!D53</f>
        <v>0</v>
      </c>
      <c r="E418" s="6" t="n">
        <f aca="false">'WR LLB'!E53</f>
        <v>0</v>
      </c>
      <c r="F418" s="28" t="n">
        <f aca="false">'WR LLB'!F53</f>
        <v>0.5</v>
      </c>
      <c r="G418" s="6" t="str">
        <f aca="false">'WR LLB'!G53</f>
        <v>keine Klausur (Prüfung ist mit dem Lehrenden abzustimmen)</v>
      </c>
      <c r="H418" s="8" t="str">
        <f aca="false">'WR LLB'!H53</f>
        <v>keine Klausur (05.10.2025)</v>
      </c>
      <c r="I418" s="6" t="str">
        <f aca="false">'WR LLB'!I53</f>
        <v>keine Klausur</v>
      </c>
      <c r="J418" s="8" t="n">
        <f aca="false">'WR LLB'!J53</f>
        <v>0</v>
      </c>
      <c r="K418" s="9" t="str">
        <f aca="false">'WR LLB'!K53</f>
        <v>Steinmetz, Nina, Frau (LBA) - 2.500 SWS;Alt, Wilfried, Herr Prof. Dr. (LBA) - 0.250 SWS;Colpa, Aida, Frau (Ass) - 0.500 SWS</v>
      </c>
      <c r="L418" s="1" t="n">
        <f aca="false">'IMFA MSc'!L5</f>
        <v>0</v>
      </c>
      <c r="M418" s="1" t="n">
        <f aca="false">'IMFA MSc'!M5</f>
        <v>0</v>
      </c>
    </row>
    <row r="419" customFormat="false" ht="26.85" hidden="false" customHeight="false" outlineLevel="0" collapsed="false">
      <c r="A419" s="6" t="str">
        <f aca="false">'WR LLB'!A54</f>
        <v>20252</v>
      </c>
      <c r="B419" s="6" t="str">
        <f aca="false">'WR LLB'!B54</f>
        <v>932-2511 (B)</v>
      </c>
      <c r="C419" s="6" t="str">
        <f aca="false">'WR LLB'!C54</f>
        <v>Blockseminar Rewi II - Wirtschaftsprivatrecht</v>
      </c>
      <c r="D419" s="6" t="n">
        <f aca="false">'WR LLB'!D54</f>
        <v>0</v>
      </c>
      <c r="E419" s="6" t="n">
        <f aca="false">'WR LLB'!E54</f>
        <v>0</v>
      </c>
      <c r="F419" s="6" t="n">
        <f aca="false">'WR LLB'!F54</f>
        <v>0</v>
      </c>
      <c r="G419" s="6" t="str">
        <f aca="false">'WR LLB'!G54</f>
        <v>keine Klausur (Prüfung ist mit dem Lehrenden abzustimmen)</v>
      </c>
      <c r="H419" s="8" t="str">
        <f aca="false">'WR LLB'!H54</f>
        <v>keine Klausur (05.10.2025)</v>
      </c>
      <c r="I419" s="6" t="str">
        <f aca="false">'WR LLB'!I54</f>
        <v>keine Klausur</v>
      </c>
      <c r="J419" s="8" t="n">
        <f aca="false">'WR LLB'!J54</f>
        <v>0</v>
      </c>
      <c r="K419" s="9" t="str">
        <f aca="false">'WR LLB'!K54</f>
        <v>Yilmaz, Rabia, Frau (LBA) - 0.500 SWS;Alt, Wilfried, Herr Prof. Dr. (LBA) - 0.250 SWS;Steinmetz, Nina, Frau (LBA) - 2.500 SWS</v>
      </c>
      <c r="L419" s="1" t="n">
        <f aca="false">'IMFA MSc'!L6</f>
        <v>0</v>
      </c>
      <c r="M419" s="1" t="n">
        <f aca="false">'IMFA MSc'!M6</f>
        <v>0</v>
      </c>
    </row>
    <row r="420" customFormat="false" ht="26.85" hidden="false" customHeight="false" outlineLevel="0" collapsed="false">
      <c r="A420" s="6" t="str">
        <f aca="false">'WR LLB'!A55</f>
        <v>20252</v>
      </c>
      <c r="B420" s="6" t="str">
        <f aca="false">'WR LLB'!B55</f>
        <v>932-2512 (A)</v>
      </c>
      <c r="C420" s="9" t="str">
        <f aca="false">'WR LLB'!C55</f>
        <v>Blockseminar Rewi II - Handels- und Gesellschaftsrecht</v>
      </c>
      <c r="D420" s="6" t="n">
        <f aca="false">'WR LLB'!D55</f>
        <v>0</v>
      </c>
      <c r="E420" s="6" t="n">
        <f aca="false">'WR LLB'!E55</f>
        <v>0</v>
      </c>
      <c r="F420" s="6" t="n">
        <f aca="false">'WR LLB'!F55</f>
        <v>0</v>
      </c>
      <c r="G420" s="6" t="str">
        <f aca="false">'WR LLB'!G55</f>
        <v>keine Klausur (Prüfung ist mit dem Lehrenden abzustimmen)</v>
      </c>
      <c r="H420" s="8" t="str">
        <f aca="false">'WR LLB'!H55</f>
        <v>keine Klausur (05.10.2025)</v>
      </c>
      <c r="I420" s="6" t="str">
        <f aca="false">'WR LLB'!I55</f>
        <v>keine Klausur</v>
      </c>
      <c r="J420" s="8" t="n">
        <f aca="false">'WR LLB'!J55</f>
        <v>0</v>
      </c>
      <c r="K420" s="9" t="str">
        <f aca="false">'WR LLB'!K55</f>
        <v>Colpa, Aida, Frau (Ass) - 1.250 SWS;Steinmetz, Wolfhard, Herr Dr. (LBA) - 1.500 SWS</v>
      </c>
      <c r="L420" s="1" t="n">
        <f aca="false">'IMFA MSc'!L7</f>
        <v>0</v>
      </c>
      <c r="M420" s="1" t="n">
        <f aca="false">'IMFA MSc'!M7</f>
        <v>0</v>
      </c>
    </row>
    <row r="421" customFormat="false" ht="26.85" hidden="false" customHeight="false" outlineLevel="0" collapsed="false">
      <c r="A421" s="6" t="str">
        <f aca="false">'WR LLB'!A56</f>
        <v>20252</v>
      </c>
      <c r="B421" s="6" t="str">
        <f aca="false">'WR LLB'!B56</f>
        <v>932-2512 (B)</v>
      </c>
      <c r="C421" s="9" t="str">
        <f aca="false">'WR LLB'!C56</f>
        <v>Blockseminar Rewi II - Handels- und Gesellschaftsrecht</v>
      </c>
      <c r="D421" s="6" t="n">
        <f aca="false">'WR LLB'!D56</f>
        <v>0</v>
      </c>
      <c r="E421" s="6" t="n">
        <f aca="false">'WR LLB'!E56</f>
        <v>0</v>
      </c>
      <c r="F421" s="6" t="n">
        <f aca="false">'WR LLB'!F56</f>
        <v>0</v>
      </c>
      <c r="G421" s="6" t="str">
        <f aca="false">'WR LLB'!G56</f>
        <v>keine Klausur (Prüfung ist mit dem Lehrenden abzustimmen)</v>
      </c>
      <c r="H421" s="8" t="str">
        <f aca="false">'WR LLB'!H56</f>
        <v>keine Klausur (05.10.2025)</v>
      </c>
      <c r="I421" s="6" t="str">
        <f aca="false">'WR LLB'!I56</f>
        <v>keine Klausur</v>
      </c>
      <c r="J421" s="8" t="n">
        <f aca="false">'WR LLB'!J56</f>
        <v>0</v>
      </c>
      <c r="K421" s="9" t="str">
        <f aca="false">'WR LLB'!K56</f>
        <v>Colpa, Aida, Frau (Ass) - 1.250 SWS;Steinmetz, Wolfhard, Herr Dr. (LBA) - 1.500 SWS</v>
      </c>
      <c r="L421" s="1" t="n">
        <f aca="false">'IMFA MSc'!L9</f>
        <v>0</v>
      </c>
      <c r="M421" s="1" t="n">
        <f aca="false">'IMFA MSc'!M9</f>
        <v>0</v>
      </c>
    </row>
    <row r="422" customFormat="false" ht="14.15" hidden="false" customHeight="false" outlineLevel="0" collapsed="false">
      <c r="A422" s="6" t="str">
        <f aca="false">'WPFS Bachelor'!A2</f>
        <v>20252</v>
      </c>
      <c r="B422" s="6" t="str">
        <f aca="false">'WPFS Bachelor'!B2</f>
        <v>000-25053</v>
      </c>
      <c r="C422" s="6" t="str">
        <f aca="false">'WPFS Bachelor'!C2</f>
        <v>School of Coding</v>
      </c>
      <c r="D422" s="7" t="str">
        <f aca="false">'WPFS Bachelor'!D2</f>
        <v>000-788</v>
      </c>
      <c r="E422" s="6" t="n">
        <f aca="false">'WPFS Bachelor'!E2</f>
        <v>0</v>
      </c>
      <c r="F422" s="6" t="n">
        <f aca="false">'WPFS Bachelor'!F2</f>
        <v>0</v>
      </c>
      <c r="G422" s="6" t="str">
        <f aca="false">'WPFS Bachelor'!G2</f>
        <v>keine Klausur (Prüfung ist mit dem Lehrenden abzustimmen)</v>
      </c>
      <c r="H422" s="8" t="str">
        <f aca="false">'WPFS Bachelor'!H2</f>
        <v>keine Klausur (12.01.2026)</v>
      </c>
      <c r="I422" s="6" t="str">
        <f aca="false">'WPFS Bachelor'!I2</f>
        <v>keine Klausur</v>
      </c>
      <c r="J422" s="6" t="n">
        <f aca="false">'WPFS Bachelor'!J2</f>
        <v>0</v>
      </c>
      <c r="K422" s="9" t="str">
        <f aca="false">'WPFS Bachelor'!K2</f>
        <v>Groß, Torsten, Herr (LBA) - 4.000 SWS</v>
      </c>
      <c r="L422" s="1" t="n">
        <f aca="false">'BA MSc'!L2</f>
        <v>0</v>
      </c>
      <c r="M422" s="1" t="n">
        <f aca="false">'BA MSc'!M2</f>
        <v>0</v>
      </c>
    </row>
    <row r="423" customFormat="false" ht="26.85" hidden="false" customHeight="false" outlineLevel="0" collapsed="false">
      <c r="A423" s="6" t="str">
        <f aca="false">'WPFS Bachelor'!A3</f>
        <v>20252</v>
      </c>
      <c r="B423" s="6" t="str">
        <f aca="false">'WPFS Bachelor'!B3</f>
        <v>00-000-11-515-05-P</v>
      </c>
      <c r="C423" s="6" t="str">
        <f aca="false">'WPFS Bachelor'!C3</f>
        <v>Prompf Engineering for Managers</v>
      </c>
      <c r="D423" s="7" t="str">
        <f aca="false">'WPFS Bachelor'!D3</f>
        <v>000-23060</v>
      </c>
      <c r="E423" s="6" t="n">
        <f aca="false">'WPFS Bachelor'!E3</f>
        <v>0</v>
      </c>
      <c r="F423" s="6" t="n">
        <f aca="false">'WPFS Bachelor'!F3</f>
        <v>0</v>
      </c>
      <c r="G423" s="6" t="str">
        <f aca="false">'WPFS Bachelor'!G3</f>
        <v>keine Klausur (Prüfung ist mit dem Lehrenden abzustimmen)</v>
      </c>
      <c r="H423" s="8" t="str">
        <f aca="false">'WPFS Bachelor'!H3</f>
        <v>keine Klausur (12.01.2026)</v>
      </c>
      <c r="I423" s="6" t="str">
        <f aca="false">'WPFS Bachelor'!I3</f>
        <v>keine Klausur</v>
      </c>
      <c r="J423" s="6" t="n">
        <f aca="false">'WPFS Bachelor'!J3</f>
        <v>0</v>
      </c>
      <c r="K423" s="9" t="str">
        <f aca="false">'WPFS Bachelor'!K3</f>
        <v>Wunder, Andreas, Herr (Ass) - 1.33 SWS;Au, Christian, Herr Prof. Dr. (Prof) - 1.33 SWS;Fränzl, Jonas, Herr (Ass) - 1.33 SWS</v>
      </c>
    </row>
    <row r="424" customFormat="false" ht="14.15" hidden="false" customHeight="false" outlineLevel="0" collapsed="false">
      <c r="A424" s="6" t="str">
        <f aca="false">Optionen!A21</f>
        <v>20252</v>
      </c>
      <c r="B424" s="6" t="str">
        <f aca="false">Optionen!B21</f>
        <v>000-12042</v>
      </c>
      <c r="C424" s="6" t="str">
        <f aca="false">Optionen!C21</f>
        <v>Digital Marketing</v>
      </c>
      <c r="D424" s="6" t="n">
        <f aca="false">Optionen!D21</f>
        <v>0</v>
      </c>
      <c r="E424" s="6" t="n">
        <f aca="false">Optionen!E21</f>
        <v>0</v>
      </c>
      <c r="F424" s="6" t="n">
        <f aca="false">Optionen!F21</f>
        <v>0</v>
      </c>
      <c r="G424" s="6" t="str">
        <f aca="false">Optionen!G21</f>
        <v>keine Klausur (Prüfung ist mit dem Lehrenden abzustimmen)</v>
      </c>
      <c r="H424" s="8" t="str">
        <f aca="false">Optionen!H21</f>
        <v>keine Klausur (12.012026)</v>
      </c>
      <c r="I424" s="6" t="str">
        <f aca="false">Optionen!I21</f>
        <v>keine Klausur</v>
      </c>
      <c r="J424" s="6" t="n">
        <f aca="false">Optionen!J21</f>
        <v>0</v>
      </c>
      <c r="K424" s="9" t="str">
        <f aca="false">Optionen!K21</f>
        <v>Hillebrandt, Isabelle, Frau Prof. Dr. (Prof) - 4.000 SWS</v>
      </c>
      <c r="L424" s="1" t="n">
        <f aca="false">'BA MSc'!L3</f>
        <v>0</v>
      </c>
      <c r="M424" s="1" t="n">
        <f aca="false">'BA MSc'!M3</f>
        <v>0</v>
      </c>
    </row>
    <row r="425" customFormat="false" ht="26.85" hidden="false" customHeight="false" outlineLevel="0" collapsed="false">
      <c r="A425" s="6" t="str">
        <f aca="false">'WR LLB'!A68</f>
        <v>20252</v>
      </c>
      <c r="B425" s="6" t="str">
        <f aca="false">'WR LLB'!B68</f>
        <v>932-2614</v>
      </c>
      <c r="C425" s="6" t="str">
        <f aca="false">'WR LLB'!C68</f>
        <v>Business Planning (Hausarbeit)</v>
      </c>
      <c r="D425" s="6" t="n">
        <f aca="false">'WR LLB'!D68</f>
        <v>0</v>
      </c>
      <c r="E425" s="6" t="n">
        <f aca="false">'WR LLB'!E68</f>
        <v>0</v>
      </c>
      <c r="F425" s="6" t="n">
        <f aca="false">'WR LLB'!F68</f>
        <v>0</v>
      </c>
      <c r="G425" s="6" t="str">
        <f aca="false">'WR LLB'!G68</f>
        <v>keine Klausur (Prüfung ist mit dem Lehrenden abzustimmen)</v>
      </c>
      <c r="H425" s="8" t="str">
        <f aca="false">'WR LLB'!H68</f>
        <v>keine Klausur (13.10.2025)</v>
      </c>
      <c r="I425" s="6" t="str">
        <f aca="false">'WR LLB'!I68</f>
        <v>keine Klausur</v>
      </c>
      <c r="J425" s="8" t="n">
        <f aca="false">'WR LLB'!J68</f>
        <v>0</v>
      </c>
      <c r="K425" s="9" t="str">
        <f aca="false">'WR LLB'!K68</f>
        <v>Trouet, Philipp Julian, Herr (LBA) - 0.500 SWS;Rosinus, Anna, Frau Prof. Dr. (Prof) - 3.500 SWS</v>
      </c>
    </row>
    <row r="426" customFormat="false" ht="39.55" hidden="false" customHeight="false" outlineLevel="0" collapsed="false">
      <c r="A426" s="6" t="str">
        <f aca="false">'IMFA MSc'!A5</f>
        <v>20252</v>
      </c>
      <c r="B426" s="6" t="str">
        <f aca="false">'IMFA MSc'!B5</f>
        <v>F43M-304-P</v>
      </c>
      <c r="C426" s="9" t="str">
        <f aca="false">'IMFA MSc'!C5</f>
        <v>Wissenschaftliches Arbeiten</v>
      </c>
      <c r="D426" s="7" t="str">
        <f aca="false">'IMFA MSc'!D5</f>
        <v>B15-60306, 52402</v>
      </c>
      <c r="E426" s="6" t="n">
        <f aca="false">'IMFA MSc'!E5</f>
        <v>0</v>
      </c>
      <c r="F426" s="6" t="n">
        <f aca="false">'IMFA MSc'!F5</f>
        <v>0</v>
      </c>
      <c r="G426" s="6" t="str">
        <f aca="false">'IMFA MSc'!G5</f>
        <v>keine Klausur (Prüfung ist mit dem Lehrenden abzustimmen)</v>
      </c>
      <c r="H426" s="8" t="str">
        <f aca="false">'IMFA MSc'!H5</f>
        <v>keine Klausur (31.01.2026)</v>
      </c>
      <c r="I426" s="6" t="str">
        <f aca="false">'IMFA MSc'!I5</f>
        <v>keine Klausur</v>
      </c>
      <c r="J426" s="6" t="n">
        <f aca="false">'IMFA MSc'!J5</f>
        <v>0</v>
      </c>
      <c r="K426" s="9" t="str">
        <f aca="false">'IMFA MSc'!K5</f>
        <v>Schrank, Randolf, Herr Prof. Dr. (Prof) - 1.000 SWS;Fränzl, Jonas, Herr (Ass) - 0.500 SWS;Ewert-Kling, Karin, Frau Dr. (Ass) - 1.500 SWS</v>
      </c>
      <c r="L426" s="1" t="n">
        <f aca="false">'BA MSc'!L4</f>
        <v>0</v>
      </c>
      <c r="M426" s="1" t="n">
        <f aca="false">'BA MSc'!M4</f>
        <v>0</v>
      </c>
    </row>
    <row r="427" customFormat="false" ht="13.8" hidden="false" customHeight="false" outlineLevel="0" collapsed="false">
      <c r="A427" s="6" t="str">
        <f aca="false">'IMFA MSc'!A6</f>
        <v>20252</v>
      </c>
      <c r="B427" s="6" t="str">
        <f aca="false">'IMFA MSc'!B6</f>
        <v>F43M-305-PF</v>
      </c>
      <c r="C427" s="9" t="str">
        <f aca="false">'IMFA MSc'!C6</f>
        <v>Corporate Sustainability</v>
      </c>
      <c r="D427" s="6" t="n">
        <f aca="false">'IMFA MSc'!D6</f>
        <v>0</v>
      </c>
      <c r="E427" s="6" t="n">
        <f aca="false">'IMFA MSc'!E6</f>
        <v>0</v>
      </c>
      <c r="F427" s="6" t="n">
        <f aca="false">'IMFA MSc'!F6</f>
        <v>0</v>
      </c>
      <c r="G427" s="6" t="str">
        <f aca="false">'IMFA MSc'!G6</f>
        <v>keine Klausur (Prüfung ist mit dem Lehrenden abzustimmen)</v>
      </c>
      <c r="H427" s="8" t="str">
        <f aca="false">'IMFA MSc'!H6</f>
        <v>keine Klausur (31.01.2026)</v>
      </c>
      <c r="I427" s="6" t="str">
        <f aca="false">'IMFA MSc'!I6</f>
        <v>keine Klausur</v>
      </c>
      <c r="J427" s="6" t="n">
        <f aca="false">'IMFA MSc'!J6</f>
        <v>0</v>
      </c>
      <c r="K427" s="9" t="str">
        <f aca="false">'IMFA MSc'!K6</f>
        <v>Barthel, Patrick, Herr (LBA) - 2.000 SWS</v>
      </c>
      <c r="L427" s="1" t="n">
        <f aca="false">'BA MSc'!L5</f>
        <v>0</v>
      </c>
      <c r="M427" s="1" t="n">
        <f aca="false">'BA MSc'!M5</f>
        <v>0</v>
      </c>
    </row>
    <row r="428" customFormat="false" ht="26.85" hidden="false" customHeight="false" outlineLevel="0" collapsed="false">
      <c r="A428" s="6" t="str">
        <f aca="false">'IB &amp; IMLA MA'!A2</f>
        <v>20252</v>
      </c>
      <c r="B428" s="6" t="str">
        <f aca="false">'IB &amp; IMLA MA'!B2</f>
        <v>964M-205-PE</v>
      </c>
      <c r="C428" s="6" t="str">
        <f aca="false">'IB &amp; IMLA MA'!C2</f>
        <v>Business Research </v>
      </c>
      <c r="D428" s="7" t="str">
        <f aca="false">'IB &amp; IMLA MA'!D2</f>
        <v>60153, 52103</v>
      </c>
      <c r="E428" s="6" t="n">
        <f aca="false">'IB &amp; IMLA MA'!E2</f>
        <v>0</v>
      </c>
      <c r="F428" s="6" t="n">
        <f aca="false">'IB &amp; IMLA MA'!F2</f>
        <v>0</v>
      </c>
      <c r="G428" s="6" t="str">
        <f aca="false">'IB &amp; IMLA MA'!G2</f>
        <v>keine Klausur (Prüfung ist mit dem Lehrenden abzustimmen)</v>
      </c>
      <c r="H428" s="8" t="str">
        <f aca="false">'IB &amp; IMLA MA'!H2</f>
        <v>keine Klausur (Abgabe Hausarbeit: 15.01.2026)</v>
      </c>
      <c r="I428" s="6" t="str">
        <f aca="false">'IB &amp; IMLA MA'!I2</f>
        <v>keine Klausur</v>
      </c>
      <c r="J428" s="6" t="n">
        <f aca="false">'IB &amp; IMLA MA'!J2</f>
        <v>0</v>
      </c>
      <c r="K428" s="9" t="str">
        <f aca="false">'IB &amp; IMLA MA'!K2</f>
        <v>Porath, Daniel, Herr Prof. Dr. (Prof) - 2.000 SWS;Dr. Dilipchandra Seetharam (LB)  - 2.000 SWS</v>
      </c>
      <c r="L428" s="1" t="n">
        <f aca="false">'BA MSc'!L6</f>
        <v>0</v>
      </c>
      <c r="M428" s="1" t="n">
        <f aca="false">'BA MSc'!M6</f>
        <v>0</v>
      </c>
    </row>
    <row r="429" customFormat="false" ht="26.85" hidden="false" customHeight="false" outlineLevel="0" collapsed="false">
      <c r="A429" s="6" t="str">
        <f aca="false">'IB &amp; IMLA MA'!A3</f>
        <v>w</v>
      </c>
      <c r="B429" s="6" t="str">
        <f aca="false">'IB &amp; IMLA MA'!B3</f>
        <v>B09-60153</v>
      </c>
      <c r="C429" s="6" t="str">
        <f aca="false">'IB &amp; IMLA MA'!C3</f>
        <v>Business Research</v>
      </c>
      <c r="D429" s="7" t="n">
        <f aca="false">'IB &amp; IMLA MA'!D3</f>
        <v>52103</v>
      </c>
      <c r="E429" s="6" t="n">
        <f aca="false">'IB &amp; IMLA MA'!E3</f>
        <v>0</v>
      </c>
      <c r="F429" s="6" t="n">
        <f aca="false">'IB &amp; IMLA MA'!F3</f>
        <v>0</v>
      </c>
      <c r="G429" s="6" t="str">
        <f aca="false">'IB &amp; IMLA MA'!G3</f>
        <v>keine Klausur (Prüfung ist mit dem Lehrenden abzustimmen)</v>
      </c>
      <c r="H429" s="8" t="str">
        <f aca="false">'IB &amp; IMLA MA'!H3</f>
        <v>keine Klausur (Abgabe Hausarbeit: 15.01.2026)</v>
      </c>
      <c r="I429" s="6" t="str">
        <f aca="false">'IB &amp; IMLA MA'!I3</f>
        <v>keine Klausur</v>
      </c>
      <c r="J429" s="6" t="n">
        <f aca="false">'IB &amp; IMLA MA'!J3</f>
        <v>0</v>
      </c>
      <c r="K429" s="9" t="str">
        <f aca="false">'IB &amp; IMLA MA'!K3</f>
        <v>Porath, Daniel, Herr Prof. Dr. (Prof) - 2.000 SWS;Dr. Dilipchandra Seetharam (LB)  - 2.000 SWS</v>
      </c>
      <c r="L429" s="1" t="n">
        <f aca="false">'BA MSc'!L7</f>
        <v>0</v>
      </c>
      <c r="M429" s="1" t="n">
        <f aca="false">'BA MSc'!M7</f>
        <v>0</v>
      </c>
    </row>
    <row r="430" customFormat="false" ht="26.85" hidden="false" customHeight="false" outlineLevel="0" collapsed="false">
      <c r="A430" s="6" t="str">
        <f aca="false">'IB &amp; IMLA MA'!A4</f>
        <v>w</v>
      </c>
      <c r="B430" s="6" t="str">
        <f aca="false">'IB &amp; IMLA MA'!B4</f>
        <v>964-60153</v>
      </c>
      <c r="C430" s="6" t="str">
        <f aca="false">'IB &amp; IMLA MA'!C4</f>
        <v>Business Research</v>
      </c>
      <c r="D430" s="7" t="n">
        <f aca="false">'IB &amp; IMLA MA'!D4</f>
        <v>52103</v>
      </c>
      <c r="E430" s="6" t="n">
        <f aca="false">'IB &amp; IMLA MA'!E4</f>
        <v>0</v>
      </c>
      <c r="F430" s="6" t="n">
        <f aca="false">'IB &amp; IMLA MA'!F4</f>
        <v>0</v>
      </c>
      <c r="G430" s="6" t="str">
        <f aca="false">'IB &amp; IMLA MA'!G4</f>
        <v>keine Klausur (Prüfung ist mit dem Lehrenden abzustimmen)</v>
      </c>
      <c r="H430" s="8" t="str">
        <f aca="false">'IB &amp; IMLA MA'!H4</f>
        <v>keine Klausur (Abgabe Hausarbeit: 15.01.2026)</v>
      </c>
      <c r="I430" s="6" t="str">
        <f aca="false">'IB &amp; IMLA MA'!I4</f>
        <v>keine Klausur</v>
      </c>
      <c r="J430" s="6" t="n">
        <f aca="false">'IB &amp; IMLA MA'!J4</f>
        <v>0</v>
      </c>
      <c r="K430" s="9" t="str">
        <f aca="false">'IB &amp; IMLA MA'!K4</f>
        <v>Porath, Daniel, Herr Prof. Dr. (Prof) - 2.000 SWS;Dr. Dilipchandra Seetharam (LB)  - 2.000 SWS</v>
      </c>
      <c r="L430" s="1" t="n">
        <f aca="false">'BA MSc'!L8</f>
        <v>0</v>
      </c>
      <c r="M430" s="1" t="n">
        <f aca="false">'BA MSc'!M8</f>
        <v>0</v>
      </c>
    </row>
    <row r="431" customFormat="false" ht="14.15" hidden="false" customHeight="false" outlineLevel="0" collapsed="false">
      <c r="A431" s="6" t="str">
        <f aca="false">'Management MSc'!A13</f>
        <v>20252</v>
      </c>
      <c r="B431" s="6" t="str">
        <f aca="false">'Management MSc'!B13</f>
        <v>996-61381</v>
      </c>
      <c r="C431" s="9" t="str">
        <f aca="false">'Management MSc'!C13</f>
        <v>Anwendungsorientiertes Forschungsprojekt - Marketing</v>
      </c>
      <c r="D431" s="6" t="n">
        <f aca="false">'Management MSc'!D13</f>
        <v>60281</v>
      </c>
      <c r="E431" s="6" t="n">
        <f aca="false">'Management MSc'!E13</f>
        <v>0</v>
      </c>
      <c r="F431" s="6" t="n">
        <f aca="false">'Management MSc'!F13</f>
        <v>0</v>
      </c>
      <c r="G431" s="6" t="str">
        <f aca="false">'Management MSc'!G13</f>
        <v>keine Klausur (Prüfung ist mit dem Lehrenden abzustimmen)</v>
      </c>
      <c r="H431" s="8" t="str">
        <f aca="false">'Management MSc'!H13</f>
        <v>keine Klausur (Deadline 13.02.2026)</v>
      </c>
      <c r="I431" s="6" t="str">
        <f aca="false">'Management MSc'!I13</f>
        <v>keine Klausur</v>
      </c>
      <c r="J431" s="6" t="n">
        <f aca="false">'Management MSc'!J13</f>
        <v>0</v>
      </c>
      <c r="K431" s="9" t="str">
        <f aca="false">'Management MSc'!K13</f>
        <v>Stephan, Rebecca, Frau (Ass) - 0.700 SWS</v>
      </c>
      <c r="L431" s="1" t="n">
        <f aca="false">'BA MSc'!L9</f>
        <v>0</v>
      </c>
      <c r="M431" s="1" t="n">
        <f aca="false">'BA MSc'!M9</f>
        <v>0</v>
      </c>
    </row>
    <row r="432" customFormat="false" ht="14.15" hidden="false" customHeight="false" outlineLevel="0" collapsed="false">
      <c r="A432" s="6" t="str">
        <f aca="false">'Management MSc'!A14</f>
        <v>20252</v>
      </c>
      <c r="B432" s="6" t="str">
        <f aca="false">'Management MSc'!B14</f>
        <v>996-61382</v>
      </c>
      <c r="C432" s="9" t="str">
        <f aca="false">'Management MSc'!C14</f>
        <v>Anwendungsorientiertes Forschungsprojekt - Controlling</v>
      </c>
      <c r="D432" s="6" t="n">
        <f aca="false">'Management MSc'!D14</f>
        <v>60282</v>
      </c>
      <c r="E432" s="6" t="n">
        <f aca="false">'Management MSc'!E14</f>
        <v>0</v>
      </c>
      <c r="F432" s="6" t="n">
        <f aca="false">'Management MSc'!F14</f>
        <v>0</v>
      </c>
      <c r="G432" s="6" t="str">
        <f aca="false">'Management MSc'!G14</f>
        <v>keine Klausur (Prüfung ist mit dem Lehrenden abzustimmen)</v>
      </c>
      <c r="H432" s="8" t="str">
        <f aca="false">'Management MSc'!H14</f>
        <v>keine Klausur (Deadline 13.02.2026)</v>
      </c>
      <c r="I432" s="6" t="str">
        <f aca="false">'Management MSc'!I14</f>
        <v>keine Klausur</v>
      </c>
      <c r="J432" s="6" t="n">
        <f aca="false">'Management MSc'!J14</f>
        <v>0</v>
      </c>
      <c r="K432" s="9" t="str">
        <f aca="false">'Management MSc'!K14</f>
        <v>Rathje, Britta, Frau Prof. Dr. (Prof) - 0.700 SWS</v>
      </c>
      <c r="L432" s="1" t="n">
        <f aca="false">'BA MSc'!L10</f>
        <v>0</v>
      </c>
      <c r="M432" s="1" t="n">
        <f aca="false">'BA MSc'!M10</f>
        <v>0</v>
      </c>
    </row>
    <row r="433" customFormat="false" ht="26.85" hidden="false" customHeight="false" outlineLevel="0" collapsed="false">
      <c r="A433" s="6" t="str">
        <f aca="false">'Management MSc'!A15</f>
        <v>20252</v>
      </c>
      <c r="B433" s="6" t="str">
        <f aca="false">'Management MSc'!B15</f>
        <v>996-61383</v>
      </c>
      <c r="C433" s="9" t="str">
        <f aca="false">'Management MSc'!C15</f>
        <v>Anwendungsorientiertes Forschungsprojekt - Human Resource Management</v>
      </c>
      <c r="D433" s="6" t="n">
        <f aca="false">'Management MSc'!D15</f>
        <v>60283</v>
      </c>
      <c r="E433" s="6" t="n">
        <f aca="false">'Management MSc'!E15</f>
        <v>0</v>
      </c>
      <c r="F433" s="6" t="n">
        <f aca="false">'Management MSc'!F15</f>
        <v>0</v>
      </c>
      <c r="G433" s="6" t="str">
        <f aca="false">'Management MSc'!G15</f>
        <v>keine Klausur (Prüfung ist mit dem Lehrenden abzustimmen)</v>
      </c>
      <c r="H433" s="8" t="str">
        <f aca="false">'Management MSc'!H15</f>
        <v>keine Klausur (Deadline 13.02.2026)</v>
      </c>
      <c r="I433" s="6" t="str">
        <f aca="false">'Management MSc'!I15</f>
        <v>keine Klausur</v>
      </c>
      <c r="J433" s="6" t="n">
        <f aca="false">'Management MSc'!J15</f>
        <v>0</v>
      </c>
      <c r="K433" s="9" t="str">
        <f aca="false">'Management MSc'!K15</f>
        <v>Rank, Susanne, Frau Prof. Dr. (Prof) - 0.700 SWS</v>
      </c>
      <c r="L433" s="1" t="n">
        <f aca="false">'BA MSc'!L11</f>
        <v>0</v>
      </c>
      <c r="M433" s="1" t="n">
        <f aca="false">'BA MSc'!M11</f>
        <v>0</v>
      </c>
    </row>
    <row r="434" customFormat="false" ht="26.85" hidden="false" customHeight="false" outlineLevel="0" collapsed="false">
      <c r="A434" s="6" t="str">
        <f aca="false">'Management MSc'!A16</f>
        <v>20252</v>
      </c>
      <c r="B434" s="6" t="str">
        <f aca="false">'Management MSc'!B16</f>
        <v>996-61384</v>
      </c>
      <c r="C434" s="9" t="str">
        <f aca="false">'Management MSc'!C16</f>
        <v>Anwendungsorientiertes Forschungsprojekt - Supply Chain Management</v>
      </c>
      <c r="D434" s="6" t="n">
        <f aca="false">'Management MSc'!D16</f>
        <v>0</v>
      </c>
      <c r="E434" s="6" t="n">
        <f aca="false">'Management MSc'!E16</f>
        <v>0</v>
      </c>
      <c r="F434" s="6" t="n">
        <f aca="false">'Management MSc'!F16</f>
        <v>0</v>
      </c>
      <c r="G434" s="6" t="str">
        <f aca="false">'Management MSc'!G16</f>
        <v>keine Klausur (Prüfung ist mit dem Lehrenden abzustimmen)</v>
      </c>
      <c r="H434" s="8" t="str">
        <f aca="false">'Management MSc'!H16</f>
        <v>keine Klausur (Deadline 13.02.2026)</v>
      </c>
      <c r="I434" s="6" t="str">
        <f aca="false">'Management MSc'!I16</f>
        <v>keine Klausur</v>
      </c>
      <c r="J434" s="6" t="n">
        <f aca="false">'Management MSc'!J16</f>
        <v>0</v>
      </c>
      <c r="K434" s="9" t="str">
        <f aca="false">'Management MSc'!K16</f>
        <v>Berbner, Ulrich, Herr Prof. Dr. (Prof) - 0.700 SWS</v>
      </c>
      <c r="L434" s="1" t="n">
        <f aca="false">'BA MSc'!L12</f>
        <v>0</v>
      </c>
      <c r="M434" s="1" t="n">
        <f aca="false">'BA MSc'!M12</f>
        <v>0</v>
      </c>
    </row>
    <row r="435" customFormat="false" ht="13.8" hidden="false" customHeight="false" outlineLevel="0" collapsed="false">
      <c r="A435" s="6" t="str">
        <f aca="false">'DIM VZ u. dual BSc'!A18</f>
        <v>20252</v>
      </c>
      <c r="B435" s="6" t="str">
        <f aca="false">'DIM VZ u. dual BSc'!B18</f>
        <v>D01/D08-2304</v>
      </c>
      <c r="C435" s="6" t="str">
        <f aca="false">'DIM VZ u. dual BSc'!C18</f>
        <v>Marketing II (Digital &amp; Social Media Marketing)</v>
      </c>
      <c r="D435" s="6" t="n">
        <f aca="false">'DIM VZ u. dual BSc'!D18</f>
        <v>0</v>
      </c>
      <c r="E435" s="6" t="n">
        <f aca="false">'DIM VZ u. dual BSc'!E18</f>
        <v>0</v>
      </c>
      <c r="F435" s="6" t="n">
        <f aca="false">'DIM VZ u. dual BSc'!F18</f>
        <v>0</v>
      </c>
      <c r="G435" s="6" t="str">
        <f aca="false">'DIM VZ u. dual BSc'!G18</f>
        <v>keine Klausur (Prüfung ist mit dem Lehrenden abzustimmen)</v>
      </c>
      <c r="H435" s="8" t="str">
        <f aca="false">'DIM VZ u. dual BSc'!H18</f>
        <v>keine Klausur (Deadline: 06.02.2025)</v>
      </c>
      <c r="I435" s="6" t="str">
        <f aca="false">'DIM VZ u. dual BSc'!I18</f>
        <v>keine Klausur</v>
      </c>
      <c r="J435" s="44" t="n">
        <f aca="false">'DIM VZ u. dual BSc'!J18</f>
        <v>0</v>
      </c>
      <c r="K435" s="9" t="str">
        <f aca="false">'DIM VZ u. dual BSc'!K18</f>
        <v>Kostyra, Daniel, Herr Prof. Dr. (Prof) - 3.000 SWS</v>
      </c>
      <c r="L435" s="1" t="n">
        <f aca="false">'BA MSc'!L13</f>
        <v>0</v>
      </c>
      <c r="M435" s="1" t="n">
        <f aca="false">'BA MSc'!M13</f>
        <v>0</v>
      </c>
    </row>
    <row r="436" customFormat="false" ht="13.8" hidden="false" customHeight="false" outlineLevel="0" collapsed="false">
      <c r="A436" s="6" t="str">
        <f aca="false">'WR LLB'!A41</f>
        <v>20252</v>
      </c>
      <c r="B436" s="6" t="str">
        <f aca="false">'WR LLB'!B41</f>
        <v>932-2304 (A)</v>
      </c>
      <c r="C436" s="6" t="str">
        <f aca="false">'WR LLB'!C41</f>
        <v>Vertragsgestaltung &amp; Vertragsverhandlung</v>
      </c>
      <c r="D436" s="7" t="str">
        <f aca="false">'WR LLB'!D41</f>
        <v>042B-606-P</v>
      </c>
      <c r="E436" s="6" t="n">
        <f aca="false">'WR LLB'!E41</f>
        <v>23</v>
      </c>
      <c r="F436" s="28" t="n">
        <f aca="false">'WR LLB'!F41</f>
        <v>0</v>
      </c>
      <c r="G436" s="6" t="str">
        <f aca="false">'WR LLB'!G41</f>
        <v>keine Klausur (Prüfung ist mit dem Lehrenden abzustimmen)</v>
      </c>
      <c r="H436" s="8" t="str">
        <f aca="false">'WR LLB'!H41</f>
        <v>keine Klausur (final 08.01.2026)</v>
      </c>
      <c r="I436" s="6" t="str">
        <f aca="false">'WR LLB'!I41</f>
        <v>keine Klausur</v>
      </c>
      <c r="J436" s="8" t="n">
        <f aca="false">'WR LLB'!J41</f>
        <v>0</v>
      </c>
      <c r="K436" s="6" t="str">
        <f aca="false">'WR LLB'!K41</f>
        <v>Klepsch, Jörg, Herr Prof. Dr. (Prof) - 4.000 SWS</v>
      </c>
      <c r="L436" s="1" t="n">
        <f aca="false">'BA MSc'!L14</f>
        <v>0</v>
      </c>
      <c r="M436" s="1" t="n">
        <f aca="false">'BA MSc'!M14</f>
        <v>0</v>
      </c>
    </row>
    <row r="437" customFormat="false" ht="14.15" hidden="false" customHeight="false" outlineLevel="0" collapsed="false">
      <c r="A437" s="6" t="str">
        <f aca="false">'WR LLB'!A42</f>
        <v>20252</v>
      </c>
      <c r="B437" s="6" t="str">
        <f aca="false">'WR LLB'!B42</f>
        <v>932-2304 (B)</v>
      </c>
      <c r="C437" s="6" t="str">
        <f aca="false">'WR LLB'!C42</f>
        <v>Vertragsgestaltung &amp; Vertragsverhandlung</v>
      </c>
      <c r="D437" s="6" t="n">
        <f aca="false">'WR LLB'!D42</f>
        <v>0</v>
      </c>
      <c r="E437" s="6" t="n">
        <f aca="false">'WR LLB'!E42</f>
        <v>17</v>
      </c>
      <c r="F437" s="6" t="n">
        <f aca="false">'WR LLB'!F42</f>
        <v>0</v>
      </c>
      <c r="G437" s="6" t="str">
        <f aca="false">'WR LLB'!G42</f>
        <v>keine Klausur (Prüfung ist mit dem Lehrenden abzustimmen)</v>
      </c>
      <c r="H437" s="8" t="str">
        <f aca="false">'WR LLB'!H42</f>
        <v>keine Klausur (final 08.01.2026)</v>
      </c>
      <c r="I437" s="6" t="str">
        <f aca="false">'WR LLB'!I42</f>
        <v>keine Klausur</v>
      </c>
      <c r="J437" s="8" t="n">
        <f aca="false">'WR LLB'!J42</f>
        <v>0</v>
      </c>
      <c r="K437" s="9" t="str">
        <f aca="false">'WR LLB'!K42</f>
        <v>Klepsch, Jörg, Herr Prof. Dr. (Prof) - 4.000 SWS</v>
      </c>
    </row>
    <row r="438" customFormat="false" ht="26.85" hidden="false" customHeight="false" outlineLevel="0" collapsed="false">
      <c r="A438" s="6" t="str">
        <f aca="false">'WR LLB'!A9</f>
        <v>20252</v>
      </c>
      <c r="B438" s="6" t="str">
        <f aca="false">'WR LLB'!B9</f>
        <v>042B-104-P2 (A)</v>
      </c>
      <c r="C438" s="9" t="str">
        <f aca="false">'WR LLB'!C9</f>
        <v>Rechtswissenschaftliches Arbeiten &amp; Propädeutikum (Hausarbeit)</v>
      </c>
      <c r="D438" s="7" t="str">
        <f aca="false">'WR LLB'!D9</f>
        <v>932-2103, 932-2114</v>
      </c>
      <c r="E438" s="6" t="n">
        <f aca="false">'WR LLB'!E9</f>
        <v>54</v>
      </c>
      <c r="F438" s="6" t="n">
        <f aca="false">'WR LLB'!F9</f>
        <v>0</v>
      </c>
      <c r="G438" s="6" t="str">
        <f aca="false">'WR LLB'!G9</f>
        <v>keine Klausur (Prüfung ist mit dem Lehrenden abzustimmen)</v>
      </c>
      <c r="H438" s="8" t="str">
        <f aca="false">'WR LLB'!H9</f>
        <v>keine Klausur (final 10.12.2025)</v>
      </c>
      <c r="I438" s="6" t="str">
        <f aca="false">'WR LLB'!I9</f>
        <v>keine Klausur</v>
      </c>
      <c r="J438" s="8" t="n">
        <f aca="false">'WR LLB'!J9</f>
        <v>0</v>
      </c>
      <c r="K438" s="9" t="str">
        <f aca="false">'WR LLB'!K9</f>
        <v>Walser, Manfred, Herr Prof. Dr. (Prof) - 3.000 SWS;Colpa, Aida, Frau (Ass) - 1.000 SWS</v>
      </c>
      <c r="L438" s="1" t="n">
        <f aca="false">'BA MSc'!L15</f>
        <v>0</v>
      </c>
      <c r="M438" s="1" t="n">
        <f aca="false">'BA MSc'!M15</f>
        <v>0</v>
      </c>
    </row>
    <row r="439" customFormat="false" ht="26.85" hidden="false" customHeight="false" outlineLevel="0" collapsed="false">
      <c r="A439" s="6" t="str">
        <f aca="false">'WR LLB'!A11</f>
        <v>20252</v>
      </c>
      <c r="B439" s="6" t="str">
        <f aca="false">'WR LLB'!B11</f>
        <v>042B-104-P2 (B)</v>
      </c>
      <c r="C439" s="9" t="str">
        <f aca="false">'WR LLB'!C11</f>
        <v>Rechtswissenschaftliches Arbeiten &amp; Propädeutikum (Hausarbeit)</v>
      </c>
      <c r="D439" s="7" t="str">
        <f aca="false">'WR LLB'!D11</f>
        <v>932-2103, 932-2114</v>
      </c>
      <c r="E439" s="6" t="n">
        <f aca="false">'WR LLB'!E11</f>
        <v>48</v>
      </c>
      <c r="F439" s="6" t="n">
        <f aca="false">'WR LLB'!F11</f>
        <v>0</v>
      </c>
      <c r="G439" s="6" t="str">
        <f aca="false">'WR LLB'!G11</f>
        <v>keine Klausur (Prüfung ist mit dem Lehrenden abzustimmen)</v>
      </c>
      <c r="H439" s="8" t="str">
        <f aca="false">'WR LLB'!H11</f>
        <v>keine Klausur (final 10.12.2025)</v>
      </c>
      <c r="I439" s="6" t="str">
        <f aca="false">'WR LLB'!I11</f>
        <v>keine Klausur</v>
      </c>
      <c r="J439" s="8" t="n">
        <f aca="false">'WR LLB'!J11</f>
        <v>0</v>
      </c>
      <c r="K439" s="9" t="str">
        <f aca="false">'WR LLB'!K11</f>
        <v>Yilmaz, Rabia Frau (LBA) - 1.000 SWS;Walser, Manfred, Herr Prof. Dr. (Prof) - 3.000 SWS</v>
      </c>
      <c r="L439" s="1" t="n">
        <f aca="false">'BA MSc'!L16</f>
        <v>0</v>
      </c>
      <c r="M439" s="1" t="n">
        <f aca="false">'BA MSc'!M16</f>
        <v>0</v>
      </c>
    </row>
    <row r="440" customFormat="false" ht="14.15" hidden="false" customHeight="false" outlineLevel="0" collapsed="false">
      <c r="A440" s="6" t="str">
        <f aca="false">'WR LLB'!A19</f>
        <v>20252</v>
      </c>
      <c r="B440" s="6" t="str">
        <f aca="false">'WR LLB'!B19</f>
        <v>042B-106-P2E (A)</v>
      </c>
      <c r="C440" s="6" t="str">
        <f aca="false">'WR LLB'!C19</f>
        <v>Business &amp; Legal English (Assignments)</v>
      </c>
      <c r="D440" s="6" t="n">
        <f aca="false">'WR LLB'!D19</f>
        <v>0</v>
      </c>
      <c r="E440" s="6" t="n">
        <f aca="false">'WR LLB'!E19</f>
        <v>66</v>
      </c>
      <c r="F440" s="6" t="n">
        <f aca="false">'WR LLB'!F19</f>
        <v>0</v>
      </c>
      <c r="G440" s="6" t="str">
        <f aca="false">'WR LLB'!G19</f>
        <v>keine Klausur (Prüfung ist mit dem Lehrenden abzustimmen)</v>
      </c>
      <c r="H440" s="8" t="str">
        <f aca="false">'WR LLB'!H19</f>
        <v>keine Klausur (final 13.01.2026)</v>
      </c>
      <c r="I440" s="6" t="str">
        <f aca="false">'WR LLB'!I19</f>
        <v>keine Klausur</v>
      </c>
      <c r="J440" s="6" t="n">
        <f aca="false">'WR LLB'!J19</f>
        <v>0</v>
      </c>
      <c r="K440" s="9" t="str">
        <f aca="false">'WR LLB'!K19</f>
        <v>Thompson, Liam, Herr (LKfbA) - 4.000 SWS</v>
      </c>
      <c r="L440" s="1" t="n">
        <f aca="false">'BA MSc'!L17</f>
        <v>0</v>
      </c>
      <c r="M440" s="1" t="n">
        <f aca="false">'BA MSc'!M17</f>
        <v>0</v>
      </c>
    </row>
    <row r="441" customFormat="false" ht="14.15" hidden="false" customHeight="false" outlineLevel="0" collapsed="false">
      <c r="A441" s="6" t="str">
        <f aca="false">'WR LLB'!A21</f>
        <v>20252</v>
      </c>
      <c r="B441" s="6" t="str">
        <f aca="false">'WR LLB'!B21</f>
        <v>042B-106-P2E (B)</v>
      </c>
      <c r="C441" s="6" t="str">
        <f aca="false">'WR LLB'!C21</f>
        <v>Business &amp; Legal English (Assignments)</v>
      </c>
      <c r="D441" s="6" t="n">
        <f aca="false">'WR LLB'!D21</f>
        <v>0</v>
      </c>
      <c r="E441" s="6" t="str">
        <f aca="false">'WR LLB'!E21</f>
        <v>s.o.</v>
      </c>
      <c r="F441" s="6" t="n">
        <f aca="false">'WR LLB'!F21</f>
        <v>0</v>
      </c>
      <c r="G441" s="6" t="str">
        <f aca="false">'WR LLB'!G21</f>
        <v>keine Klausur (Prüfung ist mit dem Lehrenden abzustimmen)</v>
      </c>
      <c r="H441" s="8" t="str">
        <f aca="false">'WR LLB'!H21</f>
        <v>keine Klausur (final 13.01.2026)</v>
      </c>
      <c r="I441" s="6" t="str">
        <f aca="false">'WR LLB'!I21</f>
        <v>keine Klausur</v>
      </c>
      <c r="J441" s="6" t="n">
        <f aca="false">'WR LLB'!J21</f>
        <v>0</v>
      </c>
      <c r="K441" s="9" t="str">
        <f aca="false">'WR LLB'!K21</f>
        <v>Ritterhoff, Teresa, Frau Dr. (LKfbA) - 4.000 SWS</v>
      </c>
      <c r="L441" s="1" t="n">
        <f aca="false">'BA MSc'!L18</f>
        <v>0</v>
      </c>
      <c r="M441" s="1" t="n">
        <f aca="false">'BA MSc'!M18</f>
        <v>0</v>
      </c>
    </row>
    <row r="442" customFormat="false" ht="14.15" hidden="false" customHeight="false" outlineLevel="0" collapsed="false">
      <c r="A442" s="6" t="str">
        <f aca="false">'WR LLB'!A23</f>
        <v>20252</v>
      </c>
      <c r="B442" s="6" t="str">
        <f aca="false">'WR LLB'!B23</f>
        <v>042B-106-P2E (C)</v>
      </c>
      <c r="C442" s="6" t="str">
        <f aca="false">'WR LLB'!C23</f>
        <v>Business &amp; Legal English (Assignments)</v>
      </c>
      <c r="D442" s="6" t="n">
        <f aca="false">'WR LLB'!D23</f>
        <v>0</v>
      </c>
      <c r="E442" s="6" t="str">
        <f aca="false">'WR LLB'!E23</f>
        <v>s.o.</v>
      </c>
      <c r="F442" s="6" t="n">
        <f aca="false">'WR LLB'!F23</f>
        <v>0</v>
      </c>
      <c r="G442" s="6" t="str">
        <f aca="false">'WR LLB'!G23</f>
        <v>keine Klausur (Prüfung ist mit dem Lehrenden abzustimmen)</v>
      </c>
      <c r="H442" s="8" t="str">
        <f aca="false">'WR LLB'!H23</f>
        <v>keine Klausur (final 13.01.2026)</v>
      </c>
      <c r="I442" s="6" t="str">
        <f aca="false">'WR LLB'!I23</f>
        <v>keine Klausur</v>
      </c>
      <c r="J442" s="6" t="n">
        <f aca="false">'WR LLB'!J23</f>
        <v>0</v>
      </c>
      <c r="K442" s="9" t="str">
        <f aca="false">'WR LLB'!K23</f>
        <v>Watson, Heather, Frau - 4.000 SWS</v>
      </c>
      <c r="L442" s="1" t="n">
        <f aca="false">'BA MSc'!L19</f>
        <v>0</v>
      </c>
      <c r="M442" s="1" t="n">
        <f aca="false">'BA MSc'!M19</f>
        <v>0</v>
      </c>
    </row>
    <row r="443" customFormat="false" ht="14.15" hidden="false" customHeight="false" outlineLevel="0" collapsed="false">
      <c r="A443" s="6" t="str">
        <f aca="false">'AI VZ u. AIOED BSc dual'!A32</f>
        <v>20252</v>
      </c>
      <c r="B443" s="6" t="str">
        <f aca="false">'AI VZ u. AIOED BSc dual'!B32</f>
        <v>938/D04-2306 (A)</v>
      </c>
      <c r="C443" s="6" t="str">
        <f aca="false">'AI VZ u. AIOED BSc dual'!C32</f>
        <v>Projektmanagement (Präsentationen)</v>
      </c>
      <c r="D443" s="6" t="n">
        <f aca="false">'AI VZ u. AIOED BSc dual'!D32</f>
        <v>1306</v>
      </c>
      <c r="E443" s="6" t="n">
        <f aca="false">'AI VZ u. AIOED BSc dual'!E32</f>
        <v>33</v>
      </c>
      <c r="F443" s="6" t="n">
        <f aca="false">'AI VZ u. AIOED BSc dual'!F32</f>
        <v>0</v>
      </c>
      <c r="G443" s="6" t="str">
        <f aca="false">'AI VZ u. AIOED BSc dual'!G32</f>
        <v>keine Klausur (Prüfung ist mit dem Lehrenden abzustimmen)</v>
      </c>
      <c r="H443" s="8" t="str">
        <f aca="false">'AI VZ u. AIOED BSc dual'!H32</f>
        <v>keine Klausur (final 16.01.2026)</v>
      </c>
      <c r="I443" s="6" t="str">
        <f aca="false">'AI VZ u. AIOED BSc dual'!I32</f>
        <v>keine Klausur</v>
      </c>
      <c r="J443" s="44" t="n">
        <f aca="false">'AI VZ u. AIOED BSc dual'!J32</f>
        <v>0</v>
      </c>
      <c r="K443" s="9" t="str">
        <f aca="false">'AI VZ u. AIOED BSc dual'!K32</f>
        <v>Heidrich, Jens, Herr Prof. Dr. (Prof) - 4.000 SWS</v>
      </c>
      <c r="L443" s="1" t="n">
        <f aca="false">'BA MSc'!L20</f>
        <v>0</v>
      </c>
      <c r="M443" s="1" t="n">
        <f aca="false">'BA MSc'!M20</f>
        <v>0</v>
      </c>
    </row>
    <row r="444" customFormat="false" ht="14.15" hidden="false" customHeight="false" outlineLevel="0" collapsed="false">
      <c r="A444" s="6" t="str">
        <f aca="false">'AI VZ u. AIOED BSc dual'!A33</f>
        <v>20252</v>
      </c>
      <c r="B444" s="6" t="str">
        <f aca="false">'AI VZ u. AIOED BSc dual'!B33</f>
        <v>938/D04-2306 (B)</v>
      </c>
      <c r="C444" s="6" t="str">
        <f aca="false">'AI VZ u. AIOED BSc dual'!C33</f>
        <v>Projektmanagement (Präsentationen)</v>
      </c>
      <c r="D444" s="6" t="n">
        <f aca="false">'AI VZ u. AIOED BSc dual'!D33</f>
        <v>0</v>
      </c>
      <c r="E444" s="6" t="n">
        <f aca="false">'AI VZ u. AIOED BSc dual'!E33</f>
        <v>22</v>
      </c>
      <c r="F444" s="6" t="n">
        <f aca="false">'AI VZ u. AIOED BSc dual'!F33</f>
        <v>0</v>
      </c>
      <c r="G444" s="6" t="str">
        <f aca="false">'AI VZ u. AIOED BSc dual'!G33</f>
        <v>keine Klausur (Prüfung ist mit dem Lehrenden abzustimmen)</v>
      </c>
      <c r="H444" s="8" t="str">
        <f aca="false">'AI VZ u. AIOED BSc dual'!H33</f>
        <v>keine Klausur (final 16.01.2026)</v>
      </c>
      <c r="I444" s="6" t="str">
        <f aca="false">'AI VZ u. AIOED BSc dual'!I33</f>
        <v>keine Klausur</v>
      </c>
      <c r="J444" s="44" t="n">
        <f aca="false">'AI VZ u. AIOED BSc dual'!J33</f>
        <v>0</v>
      </c>
      <c r="K444" s="9" t="str">
        <f aca="false">'AI VZ u. AIOED BSc dual'!K33</f>
        <v>Heidrich, Jens, Herr Prof. Dr. (Prof) - 4.000 SWS</v>
      </c>
      <c r="L444" s="1" t="n">
        <f aca="false">'BA MSc'!L21</f>
        <v>0</v>
      </c>
      <c r="M444" s="1" t="n">
        <f aca="false">'BA MSc'!M21</f>
        <v>0</v>
      </c>
    </row>
    <row r="445" customFormat="false" ht="14.15" hidden="false" customHeight="false" outlineLevel="0" collapsed="false">
      <c r="A445" s="6" t="str">
        <f aca="false">'AI VZ u. AIOED BSc dual'!A34</f>
        <v>20252</v>
      </c>
      <c r="B445" s="6" t="str">
        <f aca="false">'AI VZ u. AIOED BSc dual'!B34</f>
        <v>938/D04-2308 (A)</v>
      </c>
      <c r="C445" s="6" t="str">
        <f aca="false">'AI VZ u. AIOED BSc dual'!C34</f>
        <v>Programmieren III</v>
      </c>
      <c r="D445" s="6" t="n">
        <f aca="false">'AI VZ u. AIOED BSc dual'!D34</f>
        <v>1307</v>
      </c>
      <c r="E445" s="6" t="n">
        <f aca="false">'AI VZ u. AIOED BSc dual'!E34</f>
        <v>0</v>
      </c>
      <c r="F445" s="6" t="n">
        <f aca="false">'AI VZ u. AIOED BSc dual'!F34</f>
        <v>0</v>
      </c>
      <c r="G445" s="6" t="str">
        <f aca="false">'AI VZ u. AIOED BSc dual'!G34</f>
        <v>keine Klausur (Prüfung ist mit dem Lehrenden abzustimmen)</v>
      </c>
      <c r="H445" s="8" t="str">
        <f aca="false">'AI VZ u. AIOED BSc dual'!H34</f>
        <v>keine Klausur (final 18.01.2026)</v>
      </c>
      <c r="I445" s="6" t="str">
        <f aca="false">'AI VZ u. AIOED BSc dual'!I34</f>
        <v>keine Klausur</v>
      </c>
      <c r="J445" s="44" t="n">
        <f aca="false">'AI VZ u. AIOED BSc dual'!J34</f>
        <v>0</v>
      </c>
      <c r="K445" s="9" t="str">
        <f aca="false">'AI VZ u. AIOED BSc dual'!K34</f>
        <v>Lauff, Markus, Herr Prof. Dr. (Prof) - 4.000 SWS</v>
      </c>
      <c r="L445" s="1" t="n">
        <f aca="false">'BA MSc'!L22</f>
        <v>0</v>
      </c>
      <c r="M445" s="1" t="n">
        <f aca="false">'BA MSc'!M22</f>
        <v>0</v>
      </c>
    </row>
    <row r="446" customFormat="false" ht="14.15" hidden="false" customHeight="false" outlineLevel="0" collapsed="false">
      <c r="A446" s="6" t="str">
        <f aca="false">'AI VZ u. AIOED BSc dual'!A35</f>
        <v>20252</v>
      </c>
      <c r="B446" s="6" t="str">
        <f aca="false">'AI VZ u. AIOED BSc dual'!B35</f>
        <v>938/D04-2308 (B)</v>
      </c>
      <c r="C446" s="6" t="str">
        <f aca="false">'AI VZ u. AIOED BSc dual'!C35</f>
        <v>Programmieren III</v>
      </c>
      <c r="D446" s="6" t="n">
        <f aca="false">'AI VZ u. AIOED BSc dual'!D35</f>
        <v>0</v>
      </c>
      <c r="E446" s="6" t="n">
        <f aca="false">'AI VZ u. AIOED BSc dual'!E35</f>
        <v>0</v>
      </c>
      <c r="F446" s="6" t="n">
        <f aca="false">'AI VZ u. AIOED BSc dual'!F35</f>
        <v>0</v>
      </c>
      <c r="G446" s="6" t="str">
        <f aca="false">'AI VZ u. AIOED BSc dual'!G35</f>
        <v>keine Klausur (Prüfung ist mit dem Lehrenden abzustimmen)</v>
      </c>
      <c r="H446" s="8" t="str">
        <f aca="false">'AI VZ u. AIOED BSc dual'!H35</f>
        <v>keine Klausur (final 18.01.2026)</v>
      </c>
      <c r="I446" s="6" t="str">
        <f aca="false">'AI VZ u. AIOED BSc dual'!I35</f>
        <v>keine Klausur</v>
      </c>
      <c r="J446" s="44" t="n">
        <f aca="false">'AI VZ u. AIOED BSc dual'!J35</f>
        <v>0</v>
      </c>
      <c r="K446" s="9" t="str">
        <f aca="false">'AI VZ u. AIOED BSc dual'!K35</f>
        <v>Lauff, Markus, Herr Prof. Dr. (Prof) - 4.000 SWS</v>
      </c>
      <c r="L446" s="1" t="n">
        <f aca="false">'BA MSc'!L23</f>
        <v>0</v>
      </c>
      <c r="M446" s="1" t="n">
        <f aca="false">'BA MSc'!M23</f>
        <v>0</v>
      </c>
    </row>
    <row r="447" customFormat="false" ht="14.15" hidden="false" customHeight="false" outlineLevel="0" collapsed="false">
      <c r="A447" s="6" t="str">
        <f aca="false">'AI VZ u. AIOED BSc dual'!A41</f>
        <v>w</v>
      </c>
      <c r="B447" s="6" t="str">
        <f aca="false">'AI VZ u. AIOED BSc dual'!B41</f>
        <v>938/D04-2404 (A)</v>
      </c>
      <c r="C447" s="6" t="str">
        <f aca="false">'AI VZ u. AIOED BSc dual'!C41</f>
        <v>Betriebssysteme &amp; Plattformen</v>
      </c>
      <c r="D447" s="6" t="n">
        <f aca="false">'AI VZ u. AIOED BSc dual'!D41</f>
        <v>1404</v>
      </c>
      <c r="E447" s="6" t="n">
        <f aca="false">'AI VZ u. AIOED BSc dual'!E41</f>
        <v>0</v>
      </c>
      <c r="F447" s="6" t="n">
        <f aca="false">'AI VZ u. AIOED BSc dual'!F41</f>
        <v>0</v>
      </c>
      <c r="G447" s="6" t="str">
        <f aca="false">'AI VZ u. AIOED BSc dual'!G41</f>
        <v>keine Klausur (Prüfung ist mit dem Lehrenden abzustimmen)</v>
      </c>
      <c r="H447" s="8" t="str">
        <f aca="false">'AI VZ u. AIOED BSc dual'!H41</f>
        <v>keine Klausur (final 23.01.2026)</v>
      </c>
      <c r="I447" s="6" t="str">
        <f aca="false">'AI VZ u. AIOED BSc dual'!I41</f>
        <v>keine Klausur</v>
      </c>
      <c r="J447" s="44" t="n">
        <f aca="false">'AI VZ u. AIOED BSc dual'!J41</f>
        <v>0</v>
      </c>
      <c r="K447" s="9" t="str">
        <f aca="false">'AI VZ u. AIOED BSc dual'!K41</f>
        <v>Reinhardt, Jens, Herr Prof. Dr. (Prof) - 4.000 SWS</v>
      </c>
    </row>
    <row r="448" customFormat="false" ht="14.15" hidden="false" customHeight="false" outlineLevel="0" collapsed="false">
      <c r="A448" s="6" t="str">
        <f aca="false">'AI VZ u. AIOED BSc dual'!A42</f>
        <v>w</v>
      </c>
      <c r="B448" s="6" t="str">
        <f aca="false">'AI VZ u. AIOED BSc dual'!B42</f>
        <v>938/D04-2404 (B)</v>
      </c>
      <c r="C448" s="6" t="str">
        <f aca="false">'AI VZ u. AIOED BSc dual'!C42</f>
        <v>Betriebssysteme &amp; Plattformen</v>
      </c>
      <c r="D448" s="6" t="n">
        <f aca="false">'AI VZ u. AIOED BSc dual'!D42</f>
        <v>0</v>
      </c>
      <c r="E448" s="6" t="n">
        <f aca="false">'AI VZ u. AIOED BSc dual'!E42</f>
        <v>0</v>
      </c>
      <c r="F448" s="6" t="n">
        <f aca="false">'AI VZ u. AIOED BSc dual'!F42</f>
        <v>0</v>
      </c>
      <c r="G448" s="6" t="str">
        <f aca="false">'AI VZ u. AIOED BSc dual'!G42</f>
        <v>keine Klausur (Prüfung ist mit dem Lehrenden abzustimmen)</v>
      </c>
      <c r="H448" s="8" t="str">
        <f aca="false">'AI VZ u. AIOED BSc dual'!H42</f>
        <v>keine Klausur (final 23.01.2026)</v>
      </c>
      <c r="I448" s="6" t="str">
        <f aca="false">'AI VZ u. AIOED BSc dual'!I42</f>
        <v>keine Klausur</v>
      </c>
      <c r="J448" s="44" t="n">
        <f aca="false">'AI VZ u. AIOED BSc dual'!J42</f>
        <v>0</v>
      </c>
      <c r="K448" s="9" t="str">
        <f aca="false">'AI VZ u. AIOED BSc dual'!K42</f>
        <v>Pöll, Ferdinand, Herr (LBA) - 4.000 SWS</v>
      </c>
      <c r="L448" s="1" t="n">
        <f aca="false">'BA MSc'!L24</f>
        <v>0</v>
      </c>
      <c r="M448" s="1" t="n">
        <f aca="false">'BA MSc'!M24</f>
        <v>0</v>
      </c>
    </row>
    <row r="449" customFormat="false" ht="14.15" hidden="false" customHeight="false" outlineLevel="0" collapsed="false">
      <c r="A449" s="6" t="str">
        <f aca="false">'AI VZ u. AIOED BSc dual'!A38</f>
        <v>w</v>
      </c>
      <c r="B449" s="6" t="str">
        <f aca="false">'AI VZ u. AIOED BSc dual'!B38</f>
        <v>938/D04-2401</v>
      </c>
      <c r="C449" s="6" t="str">
        <f aca="false">'AI VZ u. AIOED BSc dual'!C38</f>
        <v>Software Engineering</v>
      </c>
      <c r="D449" s="6" t="n">
        <f aca="false">'AI VZ u. AIOED BSc dual'!D38</f>
        <v>1401</v>
      </c>
      <c r="E449" s="6" t="n">
        <f aca="false">'AI VZ u. AIOED BSc dual'!E38</f>
        <v>0</v>
      </c>
      <c r="F449" s="6" t="n">
        <f aca="false">'AI VZ u. AIOED BSc dual'!F38</f>
        <v>0</v>
      </c>
      <c r="G449" s="6" t="str">
        <f aca="false">'AI VZ u. AIOED BSc dual'!G38</f>
        <v>keine Klausur (Prüfung ist mit dem Lehrenden abzustimmen)</v>
      </c>
      <c r="H449" s="8" t="str">
        <f aca="false">'AI VZ u. AIOED BSc dual'!H38</f>
        <v>keine Klausur (final 30.01.2026)</v>
      </c>
      <c r="I449" s="6" t="str">
        <f aca="false">'AI VZ u. AIOED BSc dual'!I38</f>
        <v>keine Klausur</v>
      </c>
      <c r="J449" s="44" t="n">
        <f aca="false">'AI VZ u. AIOED BSc dual'!J38</f>
        <v>0</v>
      </c>
      <c r="K449" s="9" t="str">
        <f aca="false">'AI VZ u. AIOED BSc dual'!K38</f>
        <v>Klauer, Thomas, Herr Prof. Dr. (Prof) - 4.000 SWS</v>
      </c>
    </row>
    <row r="450" customFormat="false" ht="14.15" hidden="false" customHeight="false" outlineLevel="0" collapsed="false">
      <c r="A450" s="6" t="str">
        <f aca="false">'BA MSc'!A23</f>
        <v>20252</v>
      </c>
      <c r="B450" s="6" t="str">
        <f aca="false">'BA MSc'!B23</f>
        <v>A23-60480</v>
      </c>
      <c r="C450" s="9" t="str">
        <f aca="false">'BA MSc'!C23</f>
        <v>Wissenschaftliches Arbeiten in der Praxis</v>
      </c>
      <c r="D450" s="7" t="n">
        <f aca="false">'BA MSc'!D23</f>
        <v>70480</v>
      </c>
      <c r="E450" s="6" t="n">
        <f aca="false">'BA MSc'!E23</f>
        <v>0</v>
      </c>
      <c r="F450" s="6" t="n">
        <f aca="false">'BA MSc'!F23</f>
        <v>0</v>
      </c>
      <c r="G450" s="6" t="str">
        <f aca="false">'BA MSc'!G23</f>
        <v>keine Klausur (Prüfung ist mit dem Lehrenden abzustimmen)</v>
      </c>
      <c r="H450" s="8" t="str">
        <f aca="false">'BA MSc'!H23</f>
        <v>keine Klausur (finale Abgabe 18.01.2026)</v>
      </c>
      <c r="I450" s="6" t="str">
        <f aca="false">'BA MSc'!I23</f>
        <v>keine Klausur</v>
      </c>
      <c r="J450" s="6" t="n">
        <f aca="false">'BA MSc'!J23</f>
        <v>0</v>
      </c>
      <c r="K450" s="9" t="str">
        <f aca="false">'BA MSc'!K23</f>
        <v>Kemmeter, Sascha, Herr Prof. Dr. (Prof) - 2.000 SWS</v>
      </c>
    </row>
    <row r="451" customFormat="false" ht="39.55" hidden="false" customHeight="false" outlineLevel="0" collapsed="false">
      <c r="A451" s="6" t="str">
        <f aca="false">'BA MSc'!A19</f>
        <v>20252</v>
      </c>
      <c r="B451" s="6" t="str">
        <f aca="false">'BA MSc'!B19</f>
        <v>A23-70307</v>
      </c>
      <c r="C451" s="9" t="str">
        <f aca="false">'BA MSc'!C19</f>
        <v>Digital Business &amp; Transformation</v>
      </c>
      <c r="D451" s="7" t="n">
        <f aca="false">'BA MSc'!D19</f>
        <v>60304</v>
      </c>
      <c r="E451" s="6" t="n">
        <f aca="false">'BA MSc'!E19</f>
        <v>0</v>
      </c>
      <c r="F451" s="6" t="n">
        <f aca="false">'BA MSc'!F19</f>
        <v>0</v>
      </c>
      <c r="G451" s="6" t="str">
        <f aca="false">'BA MSc'!G19</f>
        <v>keine Klausur (Prüfung ist mit dem Lehrenden abzustimmen)</v>
      </c>
      <c r="H451" s="8" t="str">
        <f aca="false">'BA MSc'!H19</f>
        <v>keine Klausur (fnal 15.01.2026)</v>
      </c>
      <c r="I451" s="6" t="str">
        <f aca="false">'BA MSc'!I19</f>
        <v>keine Klausur</v>
      </c>
      <c r="J451" s="6" t="n">
        <f aca="false">'BA MSc'!J19</f>
        <v>0</v>
      </c>
      <c r="K451" s="9" t="str">
        <f aca="false">'BA MSc'!K19</f>
        <v>Mehler-Bicher, Anett, Frau Prof. Dr. (Prof) - 0.400 SWS;Ostheimer, Bernhard, Herr Prof. Dr. (Prof) - 0.400 SWS;Loomans, Dirk, Herr Prof. Dr. (LBA) - 3.200 SWS</v>
      </c>
    </row>
    <row r="452" customFormat="false" ht="13.8" hidden="false" customHeight="false" outlineLevel="0" collapsed="false">
      <c r="A452" s="6" t="str">
        <f aca="false">Optionen!A32</f>
        <v>20252</v>
      </c>
      <c r="B452" s="6" t="str">
        <f aca="false">Optionen!B32</f>
        <v>000-18021</v>
      </c>
      <c r="C452" s="6" t="str">
        <f aca="false">Optionen!C32</f>
        <v>Konsumentenpsychologie und -verhalten</v>
      </c>
      <c r="D452" s="6" t="n">
        <f aca="false">Optionen!D32</f>
        <v>0</v>
      </c>
      <c r="E452" s="6" t="n">
        <f aca="false">Optionen!E32</f>
        <v>0</v>
      </c>
      <c r="F452" s="28" t="n">
        <f aca="false">Optionen!F32</f>
        <v>0.1</v>
      </c>
      <c r="G452" s="6" t="str">
        <f aca="false">Optionen!G32</f>
        <v>keine Klausur (Prüfung ist mit dem Lehrenden abzustimmen)</v>
      </c>
      <c r="H452" s="8" t="str">
        <f aca="false">Optionen!H32</f>
        <v>keine Klausur (letzte Abgabe 07.01.2026)</v>
      </c>
      <c r="I452" s="6" t="str">
        <f aca="false">Optionen!I32</f>
        <v>keine Klausur</v>
      </c>
      <c r="J452" s="6" t="n">
        <f aca="false">Optionen!J32</f>
        <v>0</v>
      </c>
      <c r="K452" s="9" t="str">
        <f aca="false">Optionen!K32</f>
        <v>Redler, Jörn, Herr Prof. Dr. (Prof) - 4.000 SWS</v>
      </c>
    </row>
    <row r="453" customFormat="false" ht="13.8" hidden="false" customHeight="false" outlineLevel="0" collapsed="false">
      <c r="A453" s="6" t="str">
        <f aca="false">'IMFA MSc'!A7</f>
        <v>20252</v>
      </c>
      <c r="B453" s="6" t="str">
        <f aca="false">'IMFA MSc'!B7</f>
        <v>F43M-306-P</v>
      </c>
      <c r="C453" s="9" t="str">
        <f aca="false">'IMFA MSc'!C7</f>
        <v>Digitales Marketing &amp; Kommunikationsmanagement</v>
      </c>
      <c r="D453" s="6" t="n">
        <f aca="false">'IMFA MSc'!D7</f>
        <v>0</v>
      </c>
      <c r="E453" s="6" t="n">
        <f aca="false">'IMFA MSc'!E7</f>
        <v>19</v>
      </c>
      <c r="F453" s="6" t="n">
        <f aca="false">'IMFA MSc'!F7</f>
        <v>0</v>
      </c>
      <c r="G453" s="6" t="str">
        <f aca="false">'IMFA MSc'!G7</f>
        <v>keine Klausur (Prüfung ist mit dem Lehrenden abzustimmen)</v>
      </c>
      <c r="H453" s="8" t="str">
        <f aca="false">'IMFA MSc'!H7</f>
        <v>keine Klausur (letzte Abgabe 15.01.2026)</v>
      </c>
      <c r="I453" s="6" t="str">
        <f aca="false">'IMFA MSc'!I7</f>
        <v>keine Klausur</v>
      </c>
      <c r="J453" s="6" t="n">
        <f aca="false">'IMFA MSc'!J7</f>
        <v>0</v>
      </c>
      <c r="K453" s="9" t="str">
        <f aca="false">'IMFA MSc'!K7</f>
        <v>Redler, Jörn, Herr Prof. Dr. (Prof) - 4.000 SWS</v>
      </c>
    </row>
    <row r="454" customFormat="false" ht="13.8" hidden="false" customHeight="false" outlineLevel="0" collapsed="false">
      <c r="A454" s="6" t="str">
        <f aca="false">Optionen!A38</f>
        <v>20252</v>
      </c>
      <c r="B454" s="6" t="str">
        <f aca="false">Optionen!B38</f>
        <v>000-23057</v>
      </c>
      <c r="C454" s="6" t="str">
        <f aca="false">Optionen!C38</f>
        <v>Purchasing &amp; Supply Management</v>
      </c>
      <c r="D454" s="6" t="n">
        <f aca="false">Optionen!D38</f>
        <v>0</v>
      </c>
      <c r="E454" s="6" t="n">
        <f aca="false">Optionen!E38</f>
        <v>0</v>
      </c>
      <c r="F454" s="28" t="n">
        <f aca="false">Optionen!F38</f>
        <v>0.5</v>
      </c>
      <c r="G454" s="6" t="str">
        <f aca="false">Optionen!G38</f>
        <v>keine Klausur (Prüfung ist mit dem Lehrenden abzustimmen)</v>
      </c>
      <c r="H454" s="8" t="str">
        <f aca="false">Optionen!H38</f>
        <v>keine Klausur (letzte am 16.01.2026)</v>
      </c>
      <c r="I454" s="6" t="str">
        <f aca="false">Optionen!I38</f>
        <v>keine Klausur</v>
      </c>
      <c r="J454" s="6" t="n">
        <f aca="false">Optionen!J38</f>
        <v>0</v>
      </c>
      <c r="K454" s="9" t="str">
        <f aca="false">Optionen!K38</f>
        <v>Bals, Lydia, Frau Prof. Dr. (Prof) - 4.000 SWS</v>
      </c>
    </row>
    <row r="455" customFormat="false" ht="26.85" hidden="false" customHeight="false" outlineLevel="0" collapsed="false">
      <c r="A455" s="6" t="str">
        <f aca="false">'IMFA MSc'!A8</f>
        <v>w</v>
      </c>
      <c r="B455" s="6" t="str">
        <f aca="false">'IMFA MSc'!B8</f>
        <v>B15-60304</v>
      </c>
      <c r="C455" s="9" t="str">
        <f aca="false">'IMFA MSc'!C8</f>
        <v>Finanzen und Controlling</v>
      </c>
      <c r="D455" s="6" t="n">
        <f aca="false">'IMFA MSc'!D8</f>
        <v>0</v>
      </c>
      <c r="E455" s="6" t="n">
        <f aca="false">'IMFA MSc'!E8</f>
        <v>0</v>
      </c>
      <c r="F455" s="6" t="n">
        <f aca="false">'IMFA MSc'!F8</f>
        <v>0</v>
      </c>
      <c r="G455" s="6" t="str">
        <f aca="false">'IMFA MSc'!G8</f>
        <v>Prüfung findet in Metz statt. Mit dem Prüfer abstimmen.</v>
      </c>
      <c r="H455" s="31" t="str">
        <f aca="false">'IMFA MSc'!H8</f>
        <v>Prüfung findet in Metz statt. Mit dem Prüfer abstimmen.</v>
      </c>
      <c r="I455" s="9" t="str">
        <f aca="false">'IMFA MSc'!I8</f>
        <v>Prüfung findet in Metz statt. Mit dem Prüfer abstimmen.</v>
      </c>
      <c r="J455" s="6" t="n">
        <f aca="false">'IMFA MSc'!J8</f>
        <v>0</v>
      </c>
      <c r="K455" s="9" t="str">
        <f aca="false">'IMFA MSc'!K8</f>
        <v>Prof. Barthel und Prof. Dr. Schrank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/>
  <autoFilter ref="A1:K455">
    <sortState ref="A2:K455">
      <sortCondition ref="A2:A455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3838"/>
    <pageSetUpPr fitToPage="false"/>
  </sheetPr>
  <dimension ref="A1:B1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5078125" defaultRowHeight="13.8" zeroHeight="false" outlineLevelRow="0" outlineLevelCol="0"/>
  <cols>
    <col collapsed="false" customWidth="false" hidden="false" outlineLevel="0" max="16384" min="1" style="1" width="11.55"/>
  </cols>
  <sheetData>
    <row r="1" customFormat="false" ht="13.8" hidden="false" customHeight="false" outlineLevel="0" collapsed="false">
      <c r="A1" s="3" t="s">
        <v>1283</v>
      </c>
      <c r="B1" s="3" t="s">
        <v>1284</v>
      </c>
    </row>
    <row r="2" customFormat="false" ht="13.8" hidden="false" customHeight="false" outlineLevel="0" collapsed="false">
      <c r="A2" s="6" t="s">
        <v>263</v>
      </c>
      <c r="B2" s="8" t="n">
        <v>45986</v>
      </c>
    </row>
    <row r="3" customFormat="false" ht="13.8" hidden="false" customHeight="false" outlineLevel="0" collapsed="false">
      <c r="A3" s="6" t="s">
        <v>243</v>
      </c>
      <c r="B3" s="8" t="n">
        <v>46008</v>
      </c>
    </row>
    <row r="4" customFormat="false" ht="13.8" hidden="false" customHeight="false" outlineLevel="0" collapsed="false">
      <c r="A4" s="6" t="s">
        <v>15</v>
      </c>
      <c r="B4" s="8" t="n">
        <v>46041</v>
      </c>
    </row>
    <row r="5" customFormat="false" ht="13.8" hidden="false" customHeight="false" outlineLevel="0" collapsed="false">
      <c r="A5" s="6" t="s">
        <v>125</v>
      </c>
      <c r="B5" s="8" t="n">
        <v>46042</v>
      </c>
    </row>
    <row r="6" customFormat="false" ht="13.8" hidden="false" customHeight="false" outlineLevel="0" collapsed="false">
      <c r="A6" s="6" t="s">
        <v>40</v>
      </c>
      <c r="B6" s="8" t="n">
        <v>46043</v>
      </c>
    </row>
    <row r="7" customFormat="false" ht="13.8" hidden="false" customHeight="false" outlineLevel="0" collapsed="false">
      <c r="A7" s="6" t="s">
        <v>103</v>
      </c>
      <c r="B7" s="8" t="n">
        <v>46044</v>
      </c>
    </row>
    <row r="8" customFormat="false" ht="13.8" hidden="false" customHeight="false" outlineLevel="0" collapsed="false">
      <c r="A8" s="6" t="s">
        <v>52</v>
      </c>
      <c r="B8" s="8" t="n">
        <v>46045</v>
      </c>
    </row>
    <row r="9" customFormat="false" ht="13.8" hidden="false" customHeight="false" outlineLevel="0" collapsed="false">
      <c r="A9" s="6" t="s">
        <v>365</v>
      </c>
      <c r="B9" s="8" t="n">
        <v>46046</v>
      </c>
    </row>
    <row r="10" customFormat="false" ht="13.8" hidden="false" customHeight="false" outlineLevel="0" collapsed="false">
      <c r="A10" s="6" t="s">
        <v>27</v>
      </c>
      <c r="B10" s="8" t="n">
        <v>46048</v>
      </c>
    </row>
    <row r="11" customFormat="false" ht="13.8" hidden="false" customHeight="false" outlineLevel="0" collapsed="false">
      <c r="A11" s="6" t="s">
        <v>113</v>
      </c>
      <c r="B11" s="8" t="n">
        <v>46049</v>
      </c>
    </row>
    <row r="12" customFormat="false" ht="13.8" hidden="false" customHeight="false" outlineLevel="0" collapsed="false">
      <c r="A12" s="6" t="s">
        <v>65</v>
      </c>
      <c r="B12" s="8" t="n">
        <v>46050</v>
      </c>
    </row>
    <row r="13" customFormat="false" ht="13.8" hidden="false" customHeight="false" outlineLevel="0" collapsed="false">
      <c r="A13" s="6" t="s">
        <v>88</v>
      </c>
      <c r="B13" s="8" t="n">
        <v>46051</v>
      </c>
    </row>
    <row r="14" customFormat="false" ht="13.8" hidden="false" customHeight="false" outlineLevel="0" collapsed="false">
      <c r="A14" s="6" t="s">
        <v>324</v>
      </c>
      <c r="B14" s="8" t="n">
        <v>46052</v>
      </c>
    </row>
    <row r="15" customFormat="false" ht="13.8" hidden="false" customHeight="false" outlineLevel="0" collapsed="false">
      <c r="A15" s="6" t="s">
        <v>394</v>
      </c>
      <c r="B15" s="8" t="n">
        <v>46053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M72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4"/>
    <col collapsed="false" customWidth="true" hidden="false" outlineLevel="0" max="3" min="3" style="1" width="60"/>
    <col collapsed="false" customWidth="true" hidden="false" outlineLevel="0" max="4" min="4" style="1" width="30.44"/>
    <col collapsed="false" customWidth="true" hidden="false" outlineLevel="0" max="5" min="5" style="1" width="12.11"/>
    <col collapsed="false" customWidth="true" hidden="false" outlineLevel="0" max="6" min="6" style="1" width="14.67"/>
    <col collapsed="false" customWidth="true" hidden="false" outlineLevel="0" max="7" min="7" style="1" width="15.11"/>
    <col collapsed="false" customWidth="true" hidden="false" outlineLevel="0" max="8" min="8" style="2" width="21.33"/>
    <col collapsed="false" customWidth="true" hidden="false" outlineLevel="0" max="9" min="9" style="1" width="13.89"/>
    <col collapsed="false" customWidth="true" hidden="false" outlineLevel="0" max="10" min="10" style="1" width="22.55"/>
    <col collapsed="false" customWidth="true" hidden="false" outlineLevel="0" max="11" min="11" style="1" width="66.34"/>
    <col collapsed="false" customWidth="false" hidden="false" outlineLevel="0" max="16384" min="12" style="1" width="11.45"/>
  </cols>
  <sheetData>
    <row r="1" customFormat="false" ht="59.25" hidden="false" customHeight="true" outlineLevel="0" collapsed="false">
      <c r="A1" s="3" t="s">
        <v>0</v>
      </c>
      <c r="B1" s="4" t="s">
        <v>1</v>
      </c>
      <c r="C1" s="3" t="s">
        <v>2</v>
      </c>
      <c r="D1" s="36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240</v>
      </c>
      <c r="C2" s="6" t="s">
        <v>241</v>
      </c>
      <c r="D2" s="7" t="s">
        <v>242</v>
      </c>
      <c r="E2" s="7" t="n">
        <f aca="false">36+8</f>
        <v>44</v>
      </c>
      <c r="F2" s="7"/>
      <c r="G2" s="6" t="s">
        <v>243</v>
      </c>
      <c r="H2" s="8" t="n">
        <f aca="false">VLOOKUP(G2,Klausurtage!$A$2:$B$15,2,FALSE())</f>
        <v>46008</v>
      </c>
      <c r="I2" s="6" t="s">
        <v>244</v>
      </c>
      <c r="J2" s="6" t="s">
        <v>17</v>
      </c>
      <c r="K2" s="6" t="s">
        <v>245</v>
      </c>
    </row>
    <row r="3" customFormat="false" ht="26.85" hidden="false" customHeight="false" outlineLevel="0" collapsed="false">
      <c r="A3" s="6" t="s">
        <v>11</v>
      </c>
      <c r="B3" s="6" t="s">
        <v>246</v>
      </c>
      <c r="C3" s="6" t="s">
        <v>241</v>
      </c>
      <c r="D3" s="7"/>
      <c r="E3" s="7" t="n">
        <f aca="false">31+8</f>
        <v>39</v>
      </c>
      <c r="F3" s="7"/>
      <c r="G3" s="6" t="s">
        <v>243</v>
      </c>
      <c r="H3" s="8" t="n">
        <f aca="false">VLOOKUP(G3,Klausurtage!$A$2:$B$15,2,FALSE())</f>
        <v>46008</v>
      </c>
      <c r="I3" s="6" t="s">
        <v>244</v>
      </c>
      <c r="J3" s="6" t="s">
        <v>17</v>
      </c>
      <c r="K3" s="9" t="s">
        <v>247</v>
      </c>
    </row>
    <row r="4" customFormat="false" ht="13.8" hidden="false" customHeight="false" outlineLevel="0" collapsed="false">
      <c r="A4" s="6" t="s">
        <v>11</v>
      </c>
      <c r="B4" s="6" t="s">
        <v>248</v>
      </c>
      <c r="C4" s="6" t="s">
        <v>249</v>
      </c>
      <c r="D4" s="7" t="s">
        <v>250</v>
      </c>
      <c r="E4" s="7" t="n">
        <f aca="false">35+11</f>
        <v>46</v>
      </c>
      <c r="F4" s="7"/>
      <c r="G4" s="6" t="s">
        <v>27</v>
      </c>
      <c r="H4" s="8" t="n">
        <f aca="false">VLOOKUP(G4,Klausurtage!$A$2:$B$15,2,FALSE())</f>
        <v>46048</v>
      </c>
      <c r="I4" s="6" t="s">
        <v>251</v>
      </c>
      <c r="J4" s="6" t="s">
        <v>17</v>
      </c>
      <c r="K4" s="9" t="s">
        <v>252</v>
      </c>
    </row>
    <row r="5" customFormat="false" ht="13.8" hidden="false" customHeight="false" outlineLevel="0" collapsed="false">
      <c r="A5" s="6" t="s">
        <v>11</v>
      </c>
      <c r="B5" s="6" t="s">
        <v>253</v>
      </c>
      <c r="C5" s="6" t="s">
        <v>249</v>
      </c>
      <c r="D5" s="7"/>
      <c r="E5" s="7" t="n">
        <f aca="false">30+13</f>
        <v>43</v>
      </c>
      <c r="F5" s="7"/>
      <c r="G5" s="6" t="s">
        <v>27</v>
      </c>
      <c r="H5" s="8" t="n">
        <f aca="false">VLOOKUP(G5,Klausurtage!$A$2:$B$15,2,FALSE())</f>
        <v>46048</v>
      </c>
      <c r="I5" s="6" t="s">
        <v>251</v>
      </c>
      <c r="J5" s="6" t="s">
        <v>17</v>
      </c>
      <c r="K5" s="9" t="s">
        <v>254</v>
      </c>
    </row>
    <row r="6" customFormat="false" ht="13.8" hidden="false" customHeight="false" outlineLevel="0" collapsed="false">
      <c r="A6" s="6" t="s">
        <v>11</v>
      </c>
      <c r="B6" s="6" t="s">
        <v>255</v>
      </c>
      <c r="C6" s="6" t="s">
        <v>256</v>
      </c>
      <c r="D6" s="7" t="s">
        <v>257</v>
      </c>
      <c r="E6" s="7" t="n">
        <f aca="false">27</f>
        <v>27</v>
      </c>
      <c r="F6" s="7"/>
      <c r="G6" s="6" t="s">
        <v>103</v>
      </c>
      <c r="H6" s="8" t="n">
        <f aca="false">VLOOKUP(G6,Klausurtage!$A$2:$B$15,2,FALSE())</f>
        <v>46044</v>
      </c>
      <c r="I6" s="6" t="s">
        <v>251</v>
      </c>
      <c r="J6" s="6" t="s">
        <v>17</v>
      </c>
      <c r="K6" s="9" t="s">
        <v>258</v>
      </c>
    </row>
    <row r="7" customFormat="false" ht="13.8" hidden="false" customHeight="false" outlineLevel="0" collapsed="false">
      <c r="A7" s="6" t="s">
        <v>11</v>
      </c>
      <c r="B7" s="6" t="s">
        <v>259</v>
      </c>
      <c r="C7" s="6" t="s">
        <v>256</v>
      </c>
      <c r="D7" s="7"/>
      <c r="E7" s="7" t="n">
        <f aca="false">20</f>
        <v>20</v>
      </c>
      <c r="F7" s="7"/>
      <c r="G7" s="6" t="s">
        <v>103</v>
      </c>
      <c r="H7" s="8" t="n">
        <f aca="false">VLOOKUP(G7,Klausurtage!$A$2:$B$15,2,FALSE())</f>
        <v>46044</v>
      </c>
      <c r="I7" s="6" t="s">
        <v>251</v>
      </c>
      <c r="J7" s="6" t="s">
        <v>17</v>
      </c>
      <c r="K7" s="9" t="s">
        <v>258</v>
      </c>
    </row>
    <row r="8" customFormat="false" ht="26.85" hidden="false" customHeight="false" outlineLevel="0" collapsed="false">
      <c r="A8" s="6" t="s">
        <v>11</v>
      </c>
      <c r="B8" s="6" t="s">
        <v>260</v>
      </c>
      <c r="C8" s="6" t="s">
        <v>261</v>
      </c>
      <c r="D8" s="7" t="s">
        <v>262</v>
      </c>
      <c r="E8" s="7" t="n">
        <f aca="false">35+9</f>
        <v>44</v>
      </c>
      <c r="F8" s="7"/>
      <c r="G8" s="6" t="s">
        <v>263</v>
      </c>
      <c r="H8" s="8" t="n">
        <f aca="false">VLOOKUP(G8,Klausurtage!$A$2:$B$15,2,FALSE())</f>
        <v>45986</v>
      </c>
      <c r="I8" s="6" t="s">
        <v>264</v>
      </c>
      <c r="J8" s="6" t="s">
        <v>17</v>
      </c>
      <c r="K8" s="9" t="s">
        <v>265</v>
      </c>
    </row>
    <row r="9" customFormat="false" ht="26.85" hidden="false" customHeight="false" outlineLevel="0" collapsed="false">
      <c r="A9" s="6" t="s">
        <v>11</v>
      </c>
      <c r="B9" s="6" t="s">
        <v>266</v>
      </c>
      <c r="C9" s="6" t="s">
        <v>267</v>
      </c>
      <c r="D9" s="7" t="s">
        <v>268</v>
      </c>
      <c r="E9" s="7" t="n">
        <f aca="false">36+18</f>
        <v>54</v>
      </c>
      <c r="F9" s="7"/>
      <c r="G9" s="6" t="s">
        <v>79</v>
      </c>
      <c r="H9" s="8" t="s">
        <v>269</v>
      </c>
      <c r="I9" s="8" t="s">
        <v>270</v>
      </c>
      <c r="J9" s="8"/>
      <c r="K9" s="9" t="s">
        <v>265</v>
      </c>
    </row>
    <row r="10" customFormat="false" ht="26.85" hidden="false" customHeight="false" outlineLevel="0" collapsed="false">
      <c r="A10" s="6" t="s">
        <v>11</v>
      </c>
      <c r="B10" s="6" t="s">
        <v>271</v>
      </c>
      <c r="C10" s="6" t="s">
        <v>261</v>
      </c>
      <c r="D10" s="7" t="s">
        <v>262</v>
      </c>
      <c r="E10" s="7" t="n">
        <f aca="false">29+7</f>
        <v>36</v>
      </c>
      <c r="F10" s="7"/>
      <c r="G10" s="6" t="s">
        <v>263</v>
      </c>
      <c r="H10" s="8" t="n">
        <f aca="false">VLOOKUP(G10,Klausurtage!$A$2:$B$15,2,FALSE())</f>
        <v>45986</v>
      </c>
      <c r="I10" s="6" t="s">
        <v>264</v>
      </c>
      <c r="J10" s="6" t="s">
        <v>17</v>
      </c>
      <c r="K10" s="9" t="s">
        <v>272</v>
      </c>
    </row>
    <row r="11" customFormat="false" ht="26.85" hidden="false" customHeight="false" outlineLevel="0" collapsed="false">
      <c r="A11" s="6" t="s">
        <v>11</v>
      </c>
      <c r="B11" s="6" t="s">
        <v>273</v>
      </c>
      <c r="C11" s="6" t="s">
        <v>267</v>
      </c>
      <c r="D11" s="7" t="s">
        <v>268</v>
      </c>
      <c r="E11" s="7" t="n">
        <f aca="false">31+17</f>
        <v>48</v>
      </c>
      <c r="F11" s="7"/>
      <c r="G11" s="6" t="s">
        <v>79</v>
      </c>
      <c r="H11" s="8" t="s">
        <v>269</v>
      </c>
      <c r="I11" s="8" t="s">
        <v>270</v>
      </c>
      <c r="J11" s="8"/>
      <c r="K11" s="9" t="s">
        <v>274</v>
      </c>
    </row>
    <row r="12" customFormat="false" ht="26.85" hidden="false" customHeight="false" outlineLevel="0" collapsed="false">
      <c r="A12" s="6" t="s">
        <v>11</v>
      </c>
      <c r="B12" s="6" t="s">
        <v>275</v>
      </c>
      <c r="C12" s="6" t="s">
        <v>276</v>
      </c>
      <c r="D12" s="7" t="s">
        <v>277</v>
      </c>
      <c r="E12" s="6" t="n">
        <f aca="false">37</f>
        <v>37</v>
      </c>
      <c r="F12" s="6"/>
      <c r="G12" s="6" t="s">
        <v>52</v>
      </c>
      <c r="H12" s="8" t="n">
        <f aca="false">VLOOKUP(G12,Klausurtage!$A$2:$B$15,2,FALSE())</f>
        <v>46045</v>
      </c>
      <c r="I12" s="6" t="s">
        <v>278</v>
      </c>
      <c r="J12" s="6" t="s">
        <v>180</v>
      </c>
      <c r="K12" s="9" t="s">
        <v>279</v>
      </c>
    </row>
    <row r="13" customFormat="false" ht="13.8" hidden="false" customHeight="false" outlineLevel="0" collapsed="false">
      <c r="A13" s="6" t="s">
        <v>11</v>
      </c>
      <c r="B13" s="6" t="s">
        <v>280</v>
      </c>
      <c r="C13" s="6" t="s">
        <v>281</v>
      </c>
      <c r="D13" s="7"/>
      <c r="E13" s="7" t="n">
        <f aca="false">24</f>
        <v>24</v>
      </c>
      <c r="F13" s="7"/>
      <c r="G13" s="6" t="s">
        <v>15</v>
      </c>
      <c r="H13" s="8" t="n">
        <f aca="false">VLOOKUP(G13,Klausurtage!$A$2:$B$15,2,FALSE())</f>
        <v>46041</v>
      </c>
      <c r="I13" s="6" t="s">
        <v>114</v>
      </c>
      <c r="J13" s="6" t="s">
        <v>282</v>
      </c>
      <c r="K13" s="9" t="s">
        <v>283</v>
      </c>
    </row>
    <row r="14" customFormat="false" ht="26.85" hidden="false" customHeight="false" outlineLevel="0" collapsed="false">
      <c r="A14" s="6" t="s">
        <v>11</v>
      </c>
      <c r="B14" s="6" t="s">
        <v>284</v>
      </c>
      <c r="C14" s="6" t="s">
        <v>285</v>
      </c>
      <c r="D14" s="7" t="s">
        <v>286</v>
      </c>
      <c r="E14" s="7" t="n">
        <f aca="false">36</f>
        <v>36</v>
      </c>
      <c r="F14" s="7"/>
      <c r="G14" s="6" t="s">
        <v>40</v>
      </c>
      <c r="H14" s="8" t="n">
        <f aca="false">VLOOKUP(G14,Klausurtage!$A$2:$B$15,2,FALSE())</f>
        <v>46043</v>
      </c>
      <c r="I14" s="6" t="s">
        <v>114</v>
      </c>
      <c r="J14" s="6" t="s">
        <v>17</v>
      </c>
      <c r="K14" s="9" t="s">
        <v>287</v>
      </c>
    </row>
    <row r="15" customFormat="false" ht="26.85" hidden="false" customHeight="false" outlineLevel="0" collapsed="false">
      <c r="A15" s="6" t="s">
        <v>11</v>
      </c>
      <c r="B15" s="6" t="s">
        <v>288</v>
      </c>
      <c r="C15" s="6" t="s">
        <v>285</v>
      </c>
      <c r="D15" s="7"/>
      <c r="E15" s="7" t="n">
        <f aca="false">32</f>
        <v>32</v>
      </c>
      <c r="F15" s="7"/>
      <c r="G15" s="6" t="s">
        <v>40</v>
      </c>
      <c r="H15" s="8" t="n">
        <f aca="false">VLOOKUP(G15,Klausurtage!$A$2:$B$15,2,FALSE())</f>
        <v>46043</v>
      </c>
      <c r="I15" s="6" t="s">
        <v>114</v>
      </c>
      <c r="J15" s="6" t="s">
        <v>17</v>
      </c>
      <c r="K15" s="9" t="s">
        <v>287</v>
      </c>
    </row>
    <row r="16" customFormat="false" ht="13.8" hidden="false" customHeight="false" outlineLevel="0" collapsed="false">
      <c r="A16" s="37" t="n">
        <v>20252</v>
      </c>
      <c r="B16" s="37" t="s">
        <v>286</v>
      </c>
      <c r="C16" s="6" t="s">
        <v>289</v>
      </c>
      <c r="D16" s="7"/>
      <c r="E16" s="7" t="n">
        <f aca="false">48</f>
        <v>48</v>
      </c>
      <c r="F16" s="7"/>
      <c r="G16" s="6" t="s">
        <v>40</v>
      </c>
      <c r="H16" s="8" t="n">
        <f aca="false">VLOOKUP(G16,Klausurtage!$A$2:$B$15,2,FALSE())</f>
        <v>46043</v>
      </c>
      <c r="I16" s="6" t="s">
        <v>114</v>
      </c>
      <c r="J16" s="6" t="s">
        <v>180</v>
      </c>
      <c r="K16" s="9" t="s">
        <v>290</v>
      </c>
    </row>
    <row r="17" customFormat="false" ht="13.8" hidden="false" customHeight="false" outlineLevel="0" collapsed="false">
      <c r="A17" s="37" t="n">
        <v>20252</v>
      </c>
      <c r="B17" s="37" t="s">
        <v>291</v>
      </c>
      <c r="C17" s="38" t="s">
        <v>63</v>
      </c>
      <c r="D17" s="7" t="s">
        <v>292</v>
      </c>
      <c r="E17" s="7" t="n">
        <f aca="false">21</f>
        <v>21</v>
      </c>
      <c r="F17" s="7"/>
      <c r="G17" s="6" t="s">
        <v>88</v>
      </c>
      <c r="H17" s="8" t="n">
        <f aca="false">VLOOKUP(G17,Klausurtage!$A$2:$B$15,2,FALSE())</f>
        <v>46051</v>
      </c>
      <c r="I17" s="6" t="s">
        <v>28</v>
      </c>
      <c r="J17" s="6" t="s">
        <v>293</v>
      </c>
      <c r="K17" s="9" t="s">
        <v>294</v>
      </c>
    </row>
    <row r="18" customFormat="false" ht="13.8" hidden="false" customHeight="false" outlineLevel="0" collapsed="false">
      <c r="A18" s="6" t="s">
        <v>11</v>
      </c>
      <c r="B18" s="6" t="s">
        <v>295</v>
      </c>
      <c r="C18" s="6" t="s">
        <v>296</v>
      </c>
      <c r="D18" s="7" t="s">
        <v>291</v>
      </c>
      <c r="E18" s="7" t="n">
        <f aca="false">68</f>
        <v>68</v>
      </c>
      <c r="F18" s="7"/>
      <c r="G18" s="6" t="s">
        <v>88</v>
      </c>
      <c r="H18" s="8" t="n">
        <f aca="false">VLOOKUP(G18,Klausurtage!$A$2:$B$15,2,FALSE())</f>
        <v>46051</v>
      </c>
      <c r="I18" s="6" t="s">
        <v>28</v>
      </c>
      <c r="J18" s="6" t="s">
        <v>17</v>
      </c>
      <c r="K18" s="9" t="s">
        <v>67</v>
      </c>
    </row>
    <row r="19" customFormat="false" ht="26.85" hidden="false" customHeight="false" outlineLevel="0" collapsed="false">
      <c r="A19" s="6" t="s">
        <v>11</v>
      </c>
      <c r="B19" s="6" t="s">
        <v>297</v>
      </c>
      <c r="C19" s="6" t="s">
        <v>298</v>
      </c>
      <c r="D19" s="7"/>
      <c r="E19" s="7" t="n">
        <f aca="false">66</f>
        <v>66</v>
      </c>
      <c r="F19" s="7"/>
      <c r="G19" s="6" t="s">
        <v>79</v>
      </c>
      <c r="H19" s="31" t="s">
        <v>299</v>
      </c>
      <c r="I19" s="8" t="s">
        <v>270</v>
      </c>
      <c r="J19" s="6"/>
      <c r="K19" s="9" t="s">
        <v>67</v>
      </c>
    </row>
    <row r="20" customFormat="false" ht="13.8" hidden="false" customHeight="false" outlineLevel="0" collapsed="false">
      <c r="A20" s="6" t="s">
        <v>11</v>
      </c>
      <c r="B20" s="6" t="s">
        <v>300</v>
      </c>
      <c r="C20" s="6" t="s">
        <v>296</v>
      </c>
      <c r="D20" s="7"/>
      <c r="E20" s="7" t="s">
        <v>69</v>
      </c>
      <c r="F20" s="7"/>
      <c r="G20" s="6" t="s">
        <v>88</v>
      </c>
      <c r="H20" s="8" t="n">
        <f aca="false">VLOOKUP(G20,Klausurtage!$A$2:$B$15,2,FALSE())</f>
        <v>46051</v>
      </c>
      <c r="I20" s="6" t="s">
        <v>28</v>
      </c>
      <c r="J20" s="6" t="s">
        <v>69</v>
      </c>
      <c r="K20" s="6" t="s">
        <v>72</v>
      </c>
    </row>
    <row r="21" customFormat="false" ht="26.85" hidden="false" customHeight="false" outlineLevel="0" collapsed="false">
      <c r="A21" s="6" t="s">
        <v>11</v>
      </c>
      <c r="B21" s="6" t="s">
        <v>301</v>
      </c>
      <c r="C21" s="6" t="s">
        <v>298</v>
      </c>
      <c r="D21" s="7"/>
      <c r="E21" s="39" t="s">
        <v>69</v>
      </c>
      <c r="F21" s="7"/>
      <c r="G21" s="6" t="s">
        <v>79</v>
      </c>
      <c r="H21" s="31" t="s">
        <v>299</v>
      </c>
      <c r="I21" s="8" t="s">
        <v>270</v>
      </c>
      <c r="J21" s="6"/>
      <c r="K21" s="6" t="s">
        <v>72</v>
      </c>
    </row>
    <row r="22" customFormat="false" ht="13.8" hidden="false" customHeight="false" outlineLevel="0" collapsed="false">
      <c r="A22" s="6" t="s">
        <v>11</v>
      </c>
      <c r="B22" s="6" t="s">
        <v>302</v>
      </c>
      <c r="C22" s="6" t="s">
        <v>296</v>
      </c>
      <c r="D22" s="7"/>
      <c r="E22" s="7" t="s">
        <v>69</v>
      </c>
      <c r="F22" s="7"/>
      <c r="G22" s="6" t="s">
        <v>88</v>
      </c>
      <c r="H22" s="8" t="n">
        <f aca="false">VLOOKUP(G22,Klausurtage!$A$2:$B$15,2,FALSE())</f>
        <v>46051</v>
      </c>
      <c r="I22" s="6" t="s">
        <v>28</v>
      </c>
      <c r="J22" s="6" t="s">
        <v>69</v>
      </c>
      <c r="K22" s="22" t="s">
        <v>303</v>
      </c>
    </row>
    <row r="23" customFormat="false" ht="26.85" hidden="false" customHeight="false" outlineLevel="0" collapsed="false">
      <c r="A23" s="6" t="s">
        <v>11</v>
      </c>
      <c r="B23" s="6" t="s">
        <v>304</v>
      </c>
      <c r="C23" s="6" t="s">
        <v>298</v>
      </c>
      <c r="D23" s="23"/>
      <c r="E23" s="23" t="s">
        <v>69</v>
      </c>
      <c r="F23" s="23"/>
      <c r="G23" s="6" t="s">
        <v>79</v>
      </c>
      <c r="H23" s="31" t="s">
        <v>299</v>
      </c>
      <c r="I23" s="8" t="s">
        <v>270</v>
      </c>
      <c r="J23" s="22"/>
      <c r="K23" s="22" t="s">
        <v>303</v>
      </c>
    </row>
    <row r="24" customFormat="false" ht="13.8" hidden="false" customHeight="false" outlineLevel="0" collapsed="false">
      <c r="A24" s="25" t="s">
        <v>11</v>
      </c>
      <c r="B24" s="25" t="s">
        <v>305</v>
      </c>
      <c r="C24" s="25" t="s">
        <v>306</v>
      </c>
      <c r="D24" s="26" t="s">
        <v>307</v>
      </c>
      <c r="E24" s="26" t="n">
        <f aca="false">37+1</f>
        <v>38</v>
      </c>
      <c r="F24" s="40"/>
      <c r="G24" s="25" t="s">
        <v>15</v>
      </c>
      <c r="H24" s="27" t="n">
        <f aca="false">VLOOKUP(G24,Klausurtage!$A$2:$B$15,2,FALSE())</f>
        <v>46041</v>
      </c>
      <c r="I24" s="25" t="s">
        <v>308</v>
      </c>
      <c r="J24" s="25" t="s">
        <v>17</v>
      </c>
      <c r="K24" s="25" t="s">
        <v>309</v>
      </c>
    </row>
    <row r="25" customFormat="false" ht="13.8" hidden="false" customHeight="false" outlineLevel="0" collapsed="false">
      <c r="A25" s="6" t="s">
        <v>11</v>
      </c>
      <c r="B25" s="6" t="s">
        <v>310</v>
      </c>
      <c r="C25" s="6" t="s">
        <v>311</v>
      </c>
      <c r="D25" s="7"/>
      <c r="E25" s="7" t="n">
        <f aca="false">30</f>
        <v>30</v>
      </c>
      <c r="F25" s="7" t="s">
        <v>312</v>
      </c>
      <c r="G25" s="6" t="s">
        <v>15</v>
      </c>
      <c r="H25" s="8" t="n">
        <f aca="false">VLOOKUP(G25,Klausurtage!$A$2:$B$15,2,FALSE())</f>
        <v>46041</v>
      </c>
      <c r="I25" s="6" t="s">
        <v>308</v>
      </c>
      <c r="J25" s="6" t="s">
        <v>228</v>
      </c>
      <c r="K25" s="6" t="s">
        <v>309</v>
      </c>
    </row>
    <row r="26" customFormat="false" ht="13.8" hidden="false" customHeight="false" outlineLevel="0" collapsed="false">
      <c r="A26" s="6" t="s">
        <v>11</v>
      </c>
      <c r="B26" s="6" t="s">
        <v>313</v>
      </c>
      <c r="C26" s="6" t="s">
        <v>314</v>
      </c>
      <c r="D26" s="7" t="s">
        <v>315</v>
      </c>
      <c r="E26" s="7" t="n">
        <f aca="false">31+2</f>
        <v>33</v>
      </c>
      <c r="F26" s="18"/>
      <c r="G26" s="6" t="s">
        <v>125</v>
      </c>
      <c r="H26" s="8" t="n">
        <f aca="false">VLOOKUP(G26,Klausurtage!$A$2:$B$15,2,FALSE())</f>
        <v>46042</v>
      </c>
      <c r="I26" s="6" t="s">
        <v>251</v>
      </c>
      <c r="J26" s="6" t="s">
        <v>17</v>
      </c>
      <c r="K26" s="6" t="s">
        <v>316</v>
      </c>
    </row>
    <row r="27" customFormat="false" ht="13.8" hidden="false" customHeight="false" outlineLevel="0" collapsed="false">
      <c r="A27" s="6" t="s">
        <v>11</v>
      </c>
      <c r="B27" s="6" t="s">
        <v>317</v>
      </c>
      <c r="C27" s="6" t="s">
        <v>318</v>
      </c>
      <c r="D27" s="7"/>
      <c r="E27" s="7" t="n">
        <f aca="false">35</f>
        <v>35</v>
      </c>
      <c r="F27" s="18" t="n">
        <v>0.1</v>
      </c>
      <c r="G27" s="6" t="s">
        <v>125</v>
      </c>
      <c r="H27" s="8" t="n">
        <f aca="false">VLOOKUP(G27,Klausurtage!$A$2:$B$15,2,FALSE())</f>
        <v>46042</v>
      </c>
      <c r="I27" s="6" t="s">
        <v>251</v>
      </c>
      <c r="J27" s="6" t="s">
        <v>98</v>
      </c>
      <c r="K27" s="6" t="s">
        <v>319</v>
      </c>
    </row>
    <row r="28" customFormat="false" ht="13.8" hidden="false" customHeight="false" outlineLevel="0" collapsed="false">
      <c r="A28" s="6" t="s">
        <v>11</v>
      </c>
      <c r="B28" s="6" t="s">
        <v>320</v>
      </c>
      <c r="C28" s="6" t="s">
        <v>321</v>
      </c>
      <c r="D28" s="7" t="s">
        <v>322</v>
      </c>
      <c r="E28" s="7" t="n">
        <f aca="false">58</f>
        <v>58</v>
      </c>
      <c r="F28" s="7" t="s">
        <v>323</v>
      </c>
      <c r="G28" s="6" t="s">
        <v>324</v>
      </c>
      <c r="H28" s="8" t="n">
        <f aca="false">VLOOKUP(G28,Klausurtage!$A$2:$B$15,2,FALSE())</f>
        <v>46052</v>
      </c>
      <c r="I28" s="6" t="s">
        <v>251</v>
      </c>
      <c r="J28" s="6" t="s">
        <v>228</v>
      </c>
      <c r="K28" s="9" t="s">
        <v>325</v>
      </c>
    </row>
    <row r="29" customFormat="false" ht="26.85" hidden="false" customHeight="false" outlineLevel="0" collapsed="false">
      <c r="A29" s="6" t="s">
        <v>11</v>
      </c>
      <c r="B29" s="6" t="s">
        <v>326</v>
      </c>
      <c r="C29" s="6" t="s">
        <v>327</v>
      </c>
      <c r="D29" s="7" t="s">
        <v>328</v>
      </c>
      <c r="E29" s="7" t="n">
        <f aca="false">38</f>
        <v>38</v>
      </c>
      <c r="F29" s="18" t="n">
        <v>0.1</v>
      </c>
      <c r="G29" s="6" t="s">
        <v>103</v>
      </c>
      <c r="H29" s="8" t="n">
        <f aca="false">VLOOKUP(G29,Klausurtage!$A$2:$B$15,2,FALSE())</f>
        <v>46044</v>
      </c>
      <c r="I29" s="6" t="s">
        <v>251</v>
      </c>
      <c r="J29" s="6" t="s">
        <v>223</v>
      </c>
      <c r="K29" s="9" t="s">
        <v>329</v>
      </c>
    </row>
    <row r="30" customFormat="false" ht="13.8" hidden="false" customHeight="false" outlineLevel="0" collapsed="false">
      <c r="A30" s="6" t="s">
        <v>11</v>
      </c>
      <c r="B30" s="6" t="s">
        <v>330</v>
      </c>
      <c r="C30" s="6" t="s">
        <v>101</v>
      </c>
      <c r="D30" s="7" t="s">
        <v>331</v>
      </c>
      <c r="E30" s="7" t="n">
        <f aca="false">77</f>
        <v>77</v>
      </c>
      <c r="F30" s="7" t="s">
        <v>323</v>
      </c>
      <c r="G30" s="6" t="s">
        <v>65</v>
      </c>
      <c r="H30" s="8" t="n">
        <f aca="false">VLOOKUP(G30,Klausurtage!$A$2:$B$15,2,FALSE())</f>
        <v>46050</v>
      </c>
      <c r="I30" s="6" t="s">
        <v>198</v>
      </c>
      <c r="J30" s="6" t="s">
        <v>228</v>
      </c>
      <c r="K30" s="9" t="s">
        <v>332</v>
      </c>
    </row>
    <row r="31" customFormat="false" ht="13.8" hidden="false" customHeight="false" outlineLevel="0" collapsed="false">
      <c r="A31" s="6" t="s">
        <v>11</v>
      </c>
      <c r="B31" s="6" t="s">
        <v>333</v>
      </c>
      <c r="C31" s="6" t="s">
        <v>334</v>
      </c>
      <c r="D31" s="7" t="s">
        <v>335</v>
      </c>
      <c r="E31" s="7" t="n">
        <f aca="false">24</f>
        <v>24</v>
      </c>
      <c r="F31" s="18"/>
      <c r="G31" s="6" t="s">
        <v>88</v>
      </c>
      <c r="H31" s="8" t="n">
        <f aca="false">VLOOKUP(G31,Klausurtage!$A$2:$B$15,2,FALSE())</f>
        <v>46051</v>
      </c>
      <c r="I31" s="6" t="s">
        <v>114</v>
      </c>
      <c r="J31" s="6" t="s">
        <v>166</v>
      </c>
      <c r="K31" s="9" t="s">
        <v>336</v>
      </c>
      <c r="M31" s="41"/>
    </row>
    <row r="32" customFormat="false" ht="13.8" hidden="false" customHeight="false" outlineLevel="0" collapsed="false">
      <c r="A32" s="6" t="s">
        <v>11</v>
      </c>
      <c r="B32" s="6" t="s">
        <v>337</v>
      </c>
      <c r="C32" s="6" t="s">
        <v>334</v>
      </c>
      <c r="D32" s="7"/>
      <c r="E32" s="7" t="n">
        <f aca="false">27+1</f>
        <v>28</v>
      </c>
      <c r="F32" s="7"/>
      <c r="G32" s="6" t="s">
        <v>88</v>
      </c>
      <c r="H32" s="8" t="n">
        <f aca="false">VLOOKUP(G32,Klausurtage!$A$2:$B$15,2,FALSE())</f>
        <v>46051</v>
      </c>
      <c r="I32" s="6" t="s">
        <v>114</v>
      </c>
      <c r="J32" s="6" t="s">
        <v>338</v>
      </c>
      <c r="K32" s="9" t="s">
        <v>339</v>
      </c>
      <c r="M32" s="41"/>
    </row>
    <row r="33" customFormat="false" ht="13.8" hidden="false" customHeight="false" outlineLevel="0" collapsed="false">
      <c r="A33" s="6" t="s">
        <v>11</v>
      </c>
      <c r="B33" s="6" t="s">
        <v>340</v>
      </c>
      <c r="C33" s="6" t="s">
        <v>341</v>
      </c>
      <c r="D33" s="7" t="s">
        <v>342</v>
      </c>
      <c r="E33" s="7" t="n">
        <f aca="false">39</f>
        <v>39</v>
      </c>
      <c r="F33" s="7" t="s">
        <v>323</v>
      </c>
      <c r="G33" s="6" t="s">
        <v>40</v>
      </c>
      <c r="H33" s="8" t="n">
        <f aca="false">VLOOKUP(G33,Klausurtage!$A$2:$B$15,2,FALSE())</f>
        <v>46043</v>
      </c>
      <c r="I33" s="6" t="s">
        <v>158</v>
      </c>
      <c r="J33" s="6" t="s">
        <v>343</v>
      </c>
      <c r="K33" s="9" t="s">
        <v>344</v>
      </c>
    </row>
    <row r="34" customFormat="false" ht="13.8" hidden="false" customHeight="false" outlineLevel="0" collapsed="false">
      <c r="A34" s="22" t="s">
        <v>11</v>
      </c>
      <c r="B34" s="22" t="s">
        <v>345</v>
      </c>
      <c r="C34" s="22" t="s">
        <v>150</v>
      </c>
      <c r="D34" s="23" t="s">
        <v>331</v>
      </c>
      <c r="E34" s="23" t="n">
        <f aca="false">27</f>
        <v>27</v>
      </c>
      <c r="F34" s="23" t="s">
        <v>323</v>
      </c>
      <c r="G34" s="22" t="s">
        <v>113</v>
      </c>
      <c r="H34" s="24" t="n">
        <f aca="false">VLOOKUP(G34,Klausurtage!$A$2:$B$15,2,FALSE())</f>
        <v>46049</v>
      </c>
      <c r="I34" s="22" t="s">
        <v>28</v>
      </c>
      <c r="J34" s="22" t="s">
        <v>346</v>
      </c>
      <c r="K34" s="34" t="s">
        <v>347</v>
      </c>
    </row>
    <row r="35" customFormat="false" ht="13.8" hidden="false" customHeight="false" outlineLevel="0" collapsed="false">
      <c r="A35" s="25" t="s">
        <v>11</v>
      </c>
      <c r="B35" s="25" t="s">
        <v>348</v>
      </c>
      <c r="C35" s="25" t="s">
        <v>349</v>
      </c>
      <c r="D35" s="26" t="s">
        <v>350</v>
      </c>
      <c r="E35" s="26" t="n">
        <f aca="false">38+1</f>
        <v>39</v>
      </c>
      <c r="F35" s="26"/>
      <c r="G35" s="25" t="s">
        <v>27</v>
      </c>
      <c r="H35" s="27" t="n">
        <f aca="false">VLOOKUP(G35,Klausurtage!$A$2:$B$15,2,FALSE())</f>
        <v>46048</v>
      </c>
      <c r="I35" s="25" t="s">
        <v>351</v>
      </c>
      <c r="J35" s="25" t="s">
        <v>17</v>
      </c>
      <c r="K35" s="35" t="s">
        <v>352</v>
      </c>
    </row>
    <row r="36" customFormat="false" ht="13.8" hidden="false" customHeight="false" outlineLevel="0" collapsed="false">
      <c r="A36" s="6" t="s">
        <v>11</v>
      </c>
      <c r="B36" s="6" t="s">
        <v>353</v>
      </c>
      <c r="C36" s="6" t="s">
        <v>349</v>
      </c>
      <c r="D36" s="7"/>
      <c r="E36" s="6" t="n">
        <f aca="false">32</f>
        <v>32</v>
      </c>
      <c r="F36" s="6"/>
      <c r="G36" s="6" t="s">
        <v>27</v>
      </c>
      <c r="H36" s="8" t="n">
        <f aca="false">VLOOKUP(G36,Klausurtage!$A$2:$B$15,2,FALSE())</f>
        <v>46048</v>
      </c>
      <c r="I36" s="6" t="s">
        <v>351</v>
      </c>
      <c r="J36" s="6" t="s">
        <v>17</v>
      </c>
      <c r="K36" s="9" t="s">
        <v>354</v>
      </c>
    </row>
    <row r="37" customFormat="false" ht="26.85" hidden="false" customHeight="false" outlineLevel="0" collapsed="false">
      <c r="A37" s="6" t="s">
        <v>11</v>
      </c>
      <c r="B37" s="6" t="s">
        <v>355</v>
      </c>
      <c r="C37" s="6" t="s">
        <v>356</v>
      </c>
      <c r="D37" s="7" t="s">
        <v>357</v>
      </c>
      <c r="E37" s="6" t="n">
        <f aca="false">28</f>
        <v>28</v>
      </c>
      <c r="F37" s="6" t="s">
        <v>323</v>
      </c>
      <c r="G37" s="6" t="s">
        <v>65</v>
      </c>
      <c r="H37" s="8" t="n">
        <f aca="false">VLOOKUP(G37,Klausurtage!$A$2:$B$15,2,FALSE())</f>
        <v>46050</v>
      </c>
      <c r="I37" s="6" t="s">
        <v>251</v>
      </c>
      <c r="J37" s="6" t="s">
        <v>358</v>
      </c>
      <c r="K37" s="9" t="s">
        <v>359</v>
      </c>
    </row>
    <row r="38" customFormat="false" ht="26.85" hidden="false" customHeight="false" outlineLevel="0" collapsed="false">
      <c r="A38" s="6" t="s">
        <v>11</v>
      </c>
      <c r="B38" s="6" t="s">
        <v>360</v>
      </c>
      <c r="C38" s="6" t="s">
        <v>356</v>
      </c>
      <c r="D38" s="7"/>
      <c r="E38" s="6" t="n">
        <f aca="false">36</f>
        <v>36</v>
      </c>
      <c r="F38" s="6"/>
      <c r="G38" s="6" t="s">
        <v>65</v>
      </c>
      <c r="H38" s="8" t="n">
        <f aca="false">VLOOKUP(G38,Klausurtage!$A$2:$B$15,2,FALSE())</f>
        <v>46050</v>
      </c>
      <c r="I38" s="6" t="s">
        <v>251</v>
      </c>
      <c r="J38" s="6" t="s">
        <v>361</v>
      </c>
      <c r="K38" s="9" t="s">
        <v>359</v>
      </c>
    </row>
    <row r="39" customFormat="false" ht="13.8" hidden="false" customHeight="false" outlineLevel="0" collapsed="false">
      <c r="A39" s="6" t="s">
        <v>11</v>
      </c>
      <c r="B39" s="6" t="s">
        <v>362</v>
      </c>
      <c r="C39" s="6" t="s">
        <v>363</v>
      </c>
      <c r="D39" s="7" t="s">
        <v>364</v>
      </c>
      <c r="E39" s="6" t="n">
        <f aca="false">26</f>
        <v>26</v>
      </c>
      <c r="F39" s="6"/>
      <c r="G39" s="6" t="s">
        <v>365</v>
      </c>
      <c r="H39" s="8" t="n">
        <f aca="false">VLOOKUP(G39,Klausurtage!$A$2:$B$15,2,FALSE())</f>
        <v>46046</v>
      </c>
      <c r="I39" s="6" t="s">
        <v>278</v>
      </c>
      <c r="J39" s="6" t="s">
        <v>366</v>
      </c>
      <c r="K39" s="9" t="s">
        <v>367</v>
      </c>
    </row>
    <row r="40" customFormat="false" ht="13.8" hidden="false" customHeight="false" outlineLevel="0" collapsed="false">
      <c r="A40" s="6" t="s">
        <v>11</v>
      </c>
      <c r="B40" s="6" t="s">
        <v>368</v>
      </c>
      <c r="C40" s="6" t="s">
        <v>363</v>
      </c>
      <c r="D40" s="7"/>
      <c r="E40" s="6" t="n">
        <f aca="false">23</f>
        <v>23</v>
      </c>
      <c r="F40" s="28" t="n">
        <v>0.5</v>
      </c>
      <c r="G40" s="6" t="s">
        <v>365</v>
      </c>
      <c r="H40" s="8" t="n">
        <f aca="false">VLOOKUP(G40,Klausurtage!$A$2:$B$15,2,FALSE())</f>
        <v>46046</v>
      </c>
      <c r="I40" s="6" t="s">
        <v>278</v>
      </c>
      <c r="J40" s="6" t="s">
        <v>369</v>
      </c>
      <c r="K40" s="9" t="s">
        <v>367</v>
      </c>
    </row>
    <row r="41" customFormat="false" ht="13.8" hidden="false" customHeight="false" outlineLevel="0" collapsed="false">
      <c r="A41" s="6" t="s">
        <v>11</v>
      </c>
      <c r="B41" s="6" t="s">
        <v>370</v>
      </c>
      <c r="C41" s="6" t="s">
        <v>371</v>
      </c>
      <c r="D41" s="7" t="s">
        <v>372</v>
      </c>
      <c r="E41" s="6" t="n">
        <f aca="false">23</f>
        <v>23</v>
      </c>
      <c r="F41" s="28"/>
      <c r="G41" s="6" t="s">
        <v>79</v>
      </c>
      <c r="H41" s="8" t="s">
        <v>373</v>
      </c>
      <c r="I41" s="8" t="s">
        <v>270</v>
      </c>
      <c r="J41" s="8"/>
      <c r="K41" s="9" t="s">
        <v>374</v>
      </c>
    </row>
    <row r="42" customFormat="false" ht="13.8" hidden="false" customHeight="false" outlineLevel="0" collapsed="false">
      <c r="A42" s="6" t="s">
        <v>11</v>
      </c>
      <c r="B42" s="6" t="s">
        <v>375</v>
      </c>
      <c r="C42" s="6" t="s">
        <v>371</v>
      </c>
      <c r="D42" s="7"/>
      <c r="E42" s="6" t="n">
        <f aca="false">17</f>
        <v>17</v>
      </c>
      <c r="F42" s="6"/>
      <c r="G42" s="6" t="s">
        <v>79</v>
      </c>
      <c r="H42" s="8" t="s">
        <v>373</v>
      </c>
      <c r="I42" s="8" t="s">
        <v>270</v>
      </c>
      <c r="J42" s="8"/>
      <c r="K42" s="9" t="s">
        <v>374</v>
      </c>
    </row>
    <row r="43" customFormat="false" ht="13.8" hidden="false" customHeight="false" outlineLevel="0" collapsed="false">
      <c r="A43" s="6" t="s">
        <v>11</v>
      </c>
      <c r="B43" s="6" t="s">
        <v>376</v>
      </c>
      <c r="C43" s="6" t="s">
        <v>197</v>
      </c>
      <c r="D43" s="7"/>
      <c r="E43" s="6" t="n">
        <f aca="false">29+1</f>
        <v>30</v>
      </c>
      <c r="F43" s="28"/>
      <c r="G43" s="6" t="s">
        <v>52</v>
      </c>
      <c r="H43" s="8" t="n">
        <f aca="false">VLOOKUP(G43,Klausurtage!$A$2:$B$15,2,FALSE())</f>
        <v>46045</v>
      </c>
      <c r="I43" s="6" t="s">
        <v>114</v>
      </c>
      <c r="J43" s="9" t="s">
        <v>338</v>
      </c>
      <c r="K43" s="9" t="s">
        <v>377</v>
      </c>
    </row>
    <row r="44" customFormat="false" ht="13.8" hidden="false" customHeight="false" outlineLevel="0" collapsed="false">
      <c r="A44" s="6" t="s">
        <v>11</v>
      </c>
      <c r="B44" s="6" t="s">
        <v>378</v>
      </c>
      <c r="C44" s="6" t="s">
        <v>197</v>
      </c>
      <c r="D44" s="7"/>
      <c r="E44" s="6" t="n">
        <f aca="false">46</f>
        <v>46</v>
      </c>
      <c r="F44" s="6"/>
      <c r="G44" s="6" t="s">
        <v>52</v>
      </c>
      <c r="H44" s="8" t="n">
        <f aca="false">VLOOKUP(G44,Klausurtage!$A$2:$B$15,2,FALSE())</f>
        <v>46045</v>
      </c>
      <c r="I44" s="6" t="s">
        <v>114</v>
      </c>
      <c r="J44" s="9" t="s">
        <v>379</v>
      </c>
      <c r="K44" s="9" t="s">
        <v>200</v>
      </c>
    </row>
    <row r="45" customFormat="false" ht="26.85" hidden="false" customHeight="false" outlineLevel="0" collapsed="false">
      <c r="A45" s="6" t="s">
        <v>11</v>
      </c>
      <c r="B45" s="6" t="s">
        <v>380</v>
      </c>
      <c r="C45" s="6" t="s">
        <v>381</v>
      </c>
      <c r="D45" s="7" t="s">
        <v>382</v>
      </c>
      <c r="E45" s="6" t="n">
        <f aca="false">34</f>
        <v>34</v>
      </c>
      <c r="F45" s="6"/>
      <c r="G45" s="6" t="s">
        <v>15</v>
      </c>
      <c r="H45" s="8" t="n">
        <f aca="false">VLOOKUP(G45,Klausurtage!$A$2:$B$15,2,FALSE())</f>
        <v>46041</v>
      </c>
      <c r="I45" s="6" t="s">
        <v>351</v>
      </c>
      <c r="J45" s="6" t="s">
        <v>17</v>
      </c>
      <c r="K45" s="9" t="s">
        <v>383</v>
      </c>
    </row>
    <row r="46" customFormat="false" ht="26.85" hidden="false" customHeight="false" outlineLevel="0" collapsed="false">
      <c r="A46" s="22" t="s">
        <v>11</v>
      </c>
      <c r="B46" s="22" t="s">
        <v>384</v>
      </c>
      <c r="C46" s="22" t="s">
        <v>381</v>
      </c>
      <c r="D46" s="23"/>
      <c r="E46" s="22" t="n">
        <f aca="false">25</f>
        <v>25</v>
      </c>
      <c r="F46" s="22"/>
      <c r="G46" s="22" t="s">
        <v>15</v>
      </c>
      <c r="H46" s="24" t="n">
        <f aca="false">VLOOKUP(G46,Klausurtage!$A$2:$B$15,2,FALSE())</f>
        <v>46041</v>
      </c>
      <c r="I46" s="22" t="s">
        <v>351</v>
      </c>
      <c r="J46" s="22" t="s">
        <v>17</v>
      </c>
      <c r="K46" s="34" t="s">
        <v>385</v>
      </c>
    </row>
    <row r="47" customFormat="false" ht="13.8" hidden="false" customHeight="false" outlineLevel="0" collapsed="false">
      <c r="A47" s="25" t="s">
        <v>11</v>
      </c>
      <c r="B47" s="25" t="s">
        <v>386</v>
      </c>
      <c r="C47" s="25" t="s">
        <v>387</v>
      </c>
      <c r="D47" s="26" t="s">
        <v>388</v>
      </c>
      <c r="E47" s="25" t="n">
        <f aca="false">15</f>
        <v>15</v>
      </c>
      <c r="F47" s="33" t="n">
        <v>0.5</v>
      </c>
      <c r="G47" s="25" t="s">
        <v>103</v>
      </c>
      <c r="H47" s="27" t="n">
        <f aca="false">VLOOKUP(G47,Klausurtage!$A$2:$B$15,2,FALSE())</f>
        <v>46044</v>
      </c>
      <c r="I47" s="25" t="s">
        <v>244</v>
      </c>
      <c r="J47" s="25" t="s">
        <v>389</v>
      </c>
      <c r="K47" s="35" t="s">
        <v>390</v>
      </c>
    </row>
    <row r="48" customFormat="false" ht="13.8" hidden="false" customHeight="false" outlineLevel="0" collapsed="false">
      <c r="A48" s="6" t="s">
        <v>11</v>
      </c>
      <c r="B48" s="6" t="s">
        <v>391</v>
      </c>
      <c r="C48" s="6" t="s">
        <v>392</v>
      </c>
      <c r="D48" s="7" t="s">
        <v>393</v>
      </c>
      <c r="E48" s="6" t="n">
        <f aca="false">30</f>
        <v>30</v>
      </c>
      <c r="F48" s="28" t="n">
        <v>0.5</v>
      </c>
      <c r="G48" s="6" t="s">
        <v>394</v>
      </c>
      <c r="H48" s="8" t="n">
        <f aca="false">VLOOKUP(G48,Klausurtage!$A$2:$B$15,2,FALSE())</f>
        <v>46053</v>
      </c>
      <c r="I48" s="6" t="s">
        <v>251</v>
      </c>
      <c r="J48" s="6" t="s">
        <v>395</v>
      </c>
      <c r="K48" s="9" t="s">
        <v>396</v>
      </c>
    </row>
    <row r="49" customFormat="false" ht="26.85" hidden="false" customHeight="false" outlineLevel="0" collapsed="false">
      <c r="A49" s="6" t="s">
        <v>11</v>
      </c>
      <c r="B49" s="6" t="s">
        <v>397</v>
      </c>
      <c r="C49" s="6" t="s">
        <v>398</v>
      </c>
      <c r="D49" s="7" t="s">
        <v>399</v>
      </c>
      <c r="E49" s="6" t="n">
        <f aca="false">40</f>
        <v>40</v>
      </c>
      <c r="F49" s="6"/>
      <c r="G49" s="6" t="s">
        <v>88</v>
      </c>
      <c r="H49" s="8" t="n">
        <f aca="false">VLOOKUP(G49,Klausurtage!$A$2:$B$15,2,FALSE())</f>
        <v>46051</v>
      </c>
      <c r="I49" s="6" t="s">
        <v>244</v>
      </c>
      <c r="J49" s="6" t="s">
        <v>400</v>
      </c>
      <c r="K49" s="9" t="s">
        <v>401</v>
      </c>
    </row>
    <row r="50" customFormat="false" ht="26.85" hidden="false" customHeight="false" outlineLevel="0" collapsed="false">
      <c r="A50" s="6" t="s">
        <v>11</v>
      </c>
      <c r="B50" s="6" t="s">
        <v>402</v>
      </c>
      <c r="C50" s="6" t="s">
        <v>403</v>
      </c>
      <c r="D50" s="7" t="s">
        <v>404</v>
      </c>
      <c r="E50" s="6" t="n">
        <f aca="false">20+1</f>
        <v>21</v>
      </c>
      <c r="F50" s="28" t="n">
        <v>0.5</v>
      </c>
      <c r="G50" s="6" t="s">
        <v>15</v>
      </c>
      <c r="H50" s="8" t="n">
        <f aca="false">VLOOKUP(G50,Klausurtage!$A$2:$B$15,2,FALSE())</f>
        <v>46041</v>
      </c>
      <c r="I50" s="6" t="s">
        <v>244</v>
      </c>
      <c r="J50" s="6" t="s">
        <v>389</v>
      </c>
      <c r="K50" s="9" t="s">
        <v>405</v>
      </c>
    </row>
    <row r="51" customFormat="false" ht="13.8" hidden="false" customHeight="false" outlineLevel="0" collapsed="false">
      <c r="A51" s="6" t="s">
        <v>11</v>
      </c>
      <c r="B51" s="6" t="s">
        <v>406</v>
      </c>
      <c r="C51" s="6" t="s">
        <v>407</v>
      </c>
      <c r="D51" s="7" t="s">
        <v>408</v>
      </c>
      <c r="E51" s="6" t="n">
        <f aca="false">15</f>
        <v>15</v>
      </c>
      <c r="F51" s="28" t="n">
        <v>0.5</v>
      </c>
      <c r="G51" s="6" t="s">
        <v>40</v>
      </c>
      <c r="H51" s="8" t="n">
        <f aca="false">VLOOKUP(G51,Klausurtage!$A$2:$B$15,2,FALSE())</f>
        <v>46043</v>
      </c>
      <c r="I51" s="6" t="s">
        <v>409</v>
      </c>
      <c r="J51" s="6" t="s">
        <v>358</v>
      </c>
      <c r="K51" s="9" t="s">
        <v>325</v>
      </c>
    </row>
    <row r="52" customFormat="false" ht="13.8" hidden="false" customHeight="false" outlineLevel="0" collapsed="false">
      <c r="A52" s="22" t="s">
        <v>11</v>
      </c>
      <c r="B52" s="22" t="s">
        <v>410</v>
      </c>
      <c r="C52" s="22" t="s">
        <v>220</v>
      </c>
      <c r="D52" s="23" t="s">
        <v>411</v>
      </c>
      <c r="E52" s="22" t="n">
        <f aca="false">21</f>
        <v>21</v>
      </c>
      <c r="F52" s="22"/>
      <c r="G52" s="22" t="s">
        <v>113</v>
      </c>
      <c r="H52" s="24" t="n">
        <f aca="false">VLOOKUP(G52,Klausurtage!$A$2:$B$15,2,FALSE())</f>
        <v>46049</v>
      </c>
      <c r="I52" s="22" t="s">
        <v>16</v>
      </c>
      <c r="J52" s="22" t="s">
        <v>293</v>
      </c>
      <c r="K52" s="34" t="s">
        <v>412</v>
      </c>
    </row>
    <row r="53" customFormat="false" ht="26.85" hidden="false" customHeight="false" outlineLevel="0" collapsed="false">
      <c r="A53" s="25" t="s">
        <v>11</v>
      </c>
      <c r="B53" s="25" t="s">
        <v>413</v>
      </c>
      <c r="C53" s="25" t="s">
        <v>414</v>
      </c>
      <c r="D53" s="26"/>
      <c r="E53" s="25"/>
      <c r="F53" s="33" t="n">
        <v>0.5</v>
      </c>
      <c r="G53" s="25" t="s">
        <v>79</v>
      </c>
      <c r="H53" s="42" t="s">
        <v>415</v>
      </c>
      <c r="I53" s="27" t="s">
        <v>270</v>
      </c>
      <c r="J53" s="27"/>
      <c r="K53" s="35" t="s">
        <v>416</v>
      </c>
    </row>
    <row r="54" customFormat="false" ht="26.85" hidden="false" customHeight="false" outlineLevel="0" collapsed="false">
      <c r="A54" s="6" t="s">
        <v>11</v>
      </c>
      <c r="B54" s="6" t="s">
        <v>417</v>
      </c>
      <c r="C54" s="6" t="s">
        <v>414</v>
      </c>
      <c r="D54" s="7"/>
      <c r="E54" s="6"/>
      <c r="F54" s="6"/>
      <c r="G54" s="6" t="s">
        <v>79</v>
      </c>
      <c r="H54" s="24" t="s">
        <v>415</v>
      </c>
      <c r="I54" s="8" t="s">
        <v>270</v>
      </c>
      <c r="J54" s="8"/>
      <c r="K54" s="9" t="s">
        <v>418</v>
      </c>
    </row>
    <row r="55" customFormat="false" ht="26.85" hidden="false" customHeight="false" outlineLevel="0" collapsed="false">
      <c r="A55" s="6" t="s">
        <v>11</v>
      </c>
      <c r="B55" s="6" t="s">
        <v>419</v>
      </c>
      <c r="C55" s="6" t="s">
        <v>420</v>
      </c>
      <c r="D55" s="7"/>
      <c r="E55" s="6"/>
      <c r="F55" s="6"/>
      <c r="G55" s="6" t="s">
        <v>79</v>
      </c>
      <c r="H55" s="8" t="s">
        <v>415</v>
      </c>
      <c r="I55" s="8" t="s">
        <v>270</v>
      </c>
      <c r="J55" s="8"/>
      <c r="K55" s="9" t="s">
        <v>421</v>
      </c>
    </row>
    <row r="56" customFormat="false" ht="26.85" hidden="false" customHeight="false" outlineLevel="0" collapsed="false">
      <c r="A56" s="6" t="s">
        <v>11</v>
      </c>
      <c r="B56" s="6" t="s">
        <v>422</v>
      </c>
      <c r="C56" s="6" t="s">
        <v>420</v>
      </c>
      <c r="D56" s="7"/>
      <c r="E56" s="6"/>
      <c r="F56" s="6"/>
      <c r="G56" s="6" t="s">
        <v>79</v>
      </c>
      <c r="H56" s="17" t="s">
        <v>415</v>
      </c>
      <c r="I56" s="8" t="s">
        <v>270</v>
      </c>
      <c r="J56" s="8"/>
      <c r="K56" s="9" t="s">
        <v>421</v>
      </c>
    </row>
    <row r="57" customFormat="false" ht="13.8" hidden="false" customHeight="false" outlineLevel="0" collapsed="false">
      <c r="A57" s="6" t="s">
        <v>11</v>
      </c>
      <c r="B57" s="6" t="s">
        <v>423</v>
      </c>
      <c r="C57" s="6" t="s">
        <v>424</v>
      </c>
      <c r="D57" s="7"/>
      <c r="E57" s="6"/>
      <c r="F57" s="6"/>
      <c r="G57" s="6" t="s">
        <v>79</v>
      </c>
      <c r="H57" s="8" t="s">
        <v>270</v>
      </c>
      <c r="I57" s="8" t="s">
        <v>270</v>
      </c>
      <c r="J57" s="8"/>
      <c r="K57" s="9" t="s">
        <v>425</v>
      </c>
    </row>
    <row r="58" customFormat="false" ht="13.8" hidden="false" customHeight="false" outlineLevel="0" collapsed="false">
      <c r="A58" s="6" t="s">
        <v>11</v>
      </c>
      <c r="B58" s="6" t="s">
        <v>426</v>
      </c>
      <c r="C58" s="6" t="s">
        <v>424</v>
      </c>
      <c r="D58" s="7"/>
      <c r="E58" s="6"/>
      <c r="F58" s="6"/>
      <c r="G58" s="6" t="s">
        <v>79</v>
      </c>
      <c r="H58" s="8" t="s">
        <v>270</v>
      </c>
      <c r="I58" s="8" t="s">
        <v>270</v>
      </c>
      <c r="J58" s="8"/>
      <c r="K58" s="9" t="s">
        <v>425</v>
      </c>
    </row>
    <row r="59" customFormat="false" ht="13.8" hidden="false" customHeight="false" outlineLevel="0" collapsed="false">
      <c r="A59" s="6" t="s">
        <v>11</v>
      </c>
      <c r="B59" s="6" t="s">
        <v>427</v>
      </c>
      <c r="C59" s="6" t="s">
        <v>428</v>
      </c>
      <c r="D59" s="7"/>
      <c r="E59" s="6"/>
      <c r="F59" s="6"/>
      <c r="G59" s="6" t="s">
        <v>79</v>
      </c>
      <c r="H59" s="8" t="s">
        <v>270</v>
      </c>
      <c r="I59" s="8" t="s">
        <v>270</v>
      </c>
      <c r="J59" s="8"/>
      <c r="K59" s="6" t="s">
        <v>429</v>
      </c>
    </row>
    <row r="60" customFormat="false" ht="13.8" hidden="false" customHeight="false" outlineLevel="0" collapsed="false">
      <c r="A60" s="6" t="s">
        <v>11</v>
      </c>
      <c r="B60" s="6" t="s">
        <v>430</v>
      </c>
      <c r="C60" s="6" t="s">
        <v>428</v>
      </c>
      <c r="D60" s="7"/>
      <c r="E60" s="6"/>
      <c r="F60" s="6"/>
      <c r="G60" s="6" t="s">
        <v>79</v>
      </c>
      <c r="H60" s="8" t="s">
        <v>270</v>
      </c>
      <c r="I60" s="8" t="s">
        <v>270</v>
      </c>
      <c r="J60" s="8"/>
      <c r="K60" s="6" t="s">
        <v>429</v>
      </c>
    </row>
    <row r="61" customFormat="false" ht="13.8" hidden="false" customHeight="false" outlineLevel="0" collapsed="false">
      <c r="A61" s="6" t="s">
        <v>11</v>
      </c>
      <c r="B61" s="6" t="s">
        <v>431</v>
      </c>
      <c r="C61" s="6" t="s">
        <v>428</v>
      </c>
      <c r="D61" s="7"/>
      <c r="E61" s="6"/>
      <c r="F61" s="6"/>
      <c r="G61" s="6" t="s">
        <v>79</v>
      </c>
      <c r="H61" s="8" t="s">
        <v>270</v>
      </c>
      <c r="I61" s="8" t="s">
        <v>270</v>
      </c>
      <c r="J61" s="8"/>
      <c r="K61" s="6" t="s">
        <v>429</v>
      </c>
    </row>
    <row r="62" customFormat="false" ht="13.8" hidden="false" customHeight="false" outlineLevel="0" collapsed="false">
      <c r="A62" s="6" t="s">
        <v>11</v>
      </c>
      <c r="B62" s="6" t="s">
        <v>432</v>
      </c>
      <c r="C62" s="6" t="s">
        <v>428</v>
      </c>
      <c r="D62" s="7"/>
      <c r="E62" s="6"/>
      <c r="F62" s="6"/>
      <c r="G62" s="6" t="s">
        <v>79</v>
      </c>
      <c r="H62" s="8" t="s">
        <v>270</v>
      </c>
      <c r="I62" s="8" t="s">
        <v>270</v>
      </c>
      <c r="J62" s="8"/>
      <c r="K62" s="6" t="s">
        <v>429</v>
      </c>
    </row>
    <row r="63" customFormat="false" ht="13.8" hidden="false" customHeight="false" outlineLevel="0" collapsed="false">
      <c r="A63" s="22" t="s">
        <v>11</v>
      </c>
      <c r="B63" s="22" t="s">
        <v>433</v>
      </c>
      <c r="C63" s="22" t="s">
        <v>434</v>
      </c>
      <c r="D63" s="23" t="s">
        <v>435</v>
      </c>
      <c r="E63" s="22" t="n">
        <f aca="false">14</f>
        <v>14</v>
      </c>
      <c r="F63" s="22"/>
      <c r="G63" s="22" t="s">
        <v>79</v>
      </c>
      <c r="H63" s="24" t="s">
        <v>270</v>
      </c>
      <c r="I63" s="24" t="s">
        <v>270</v>
      </c>
      <c r="J63" s="24"/>
      <c r="K63" s="34" t="s">
        <v>436</v>
      </c>
    </row>
    <row r="64" customFormat="false" ht="26.85" hidden="false" customHeight="false" outlineLevel="0" collapsed="false">
      <c r="A64" s="25" t="s">
        <v>11</v>
      </c>
      <c r="B64" s="25" t="s">
        <v>437</v>
      </c>
      <c r="C64" s="25" t="s">
        <v>438</v>
      </c>
      <c r="D64" s="26" t="s">
        <v>439</v>
      </c>
      <c r="E64" s="25" t="n">
        <f aca="false">32</f>
        <v>32</v>
      </c>
      <c r="F64" s="25"/>
      <c r="G64" s="25" t="s">
        <v>365</v>
      </c>
      <c r="H64" s="27" t="n">
        <f aca="false">VLOOKUP(G64,Klausurtage!$A$2:$B$15,2,FALSE())</f>
        <v>46046</v>
      </c>
      <c r="I64" s="25" t="s">
        <v>440</v>
      </c>
      <c r="J64" s="25" t="s">
        <v>441</v>
      </c>
      <c r="K64" s="35" t="s">
        <v>442</v>
      </c>
    </row>
    <row r="65" customFormat="false" ht="13.8" hidden="false" customHeight="false" outlineLevel="0" collapsed="false">
      <c r="A65" s="6" t="s">
        <v>11</v>
      </c>
      <c r="B65" s="6" t="s">
        <v>443</v>
      </c>
      <c r="C65" s="6" t="s">
        <v>444</v>
      </c>
      <c r="D65" s="7" t="n">
        <v>1405</v>
      </c>
      <c r="E65" s="6" t="n">
        <f aca="false">27+1</f>
        <v>28</v>
      </c>
      <c r="F65" s="6"/>
      <c r="G65" s="6" t="s">
        <v>52</v>
      </c>
      <c r="H65" s="8" t="n">
        <f aca="false">VLOOKUP(G65,Klausurtage!$A$2:$B$15,2,FALSE())</f>
        <v>46045</v>
      </c>
      <c r="I65" s="6" t="s">
        <v>244</v>
      </c>
      <c r="J65" s="6" t="s">
        <v>338</v>
      </c>
      <c r="K65" s="9" t="s">
        <v>445</v>
      </c>
    </row>
    <row r="66" customFormat="false" ht="13.8" hidden="false" customHeight="false" outlineLevel="0" collapsed="false">
      <c r="A66" s="6" t="s">
        <v>11</v>
      </c>
      <c r="B66" s="6" t="s">
        <v>446</v>
      </c>
      <c r="C66" s="6" t="s">
        <v>447</v>
      </c>
      <c r="D66" s="7" t="s">
        <v>448</v>
      </c>
      <c r="E66" s="6" t="n">
        <f aca="false">17+1</f>
        <v>18</v>
      </c>
      <c r="F66" s="6"/>
      <c r="G66" s="6" t="s">
        <v>27</v>
      </c>
      <c r="H66" s="8" t="n">
        <f aca="false">VLOOKUP(G66,Klausurtage!$A$2:$B$15,2,FALSE())</f>
        <v>46048</v>
      </c>
      <c r="I66" s="6" t="s">
        <v>28</v>
      </c>
      <c r="J66" s="6" t="s">
        <v>449</v>
      </c>
      <c r="K66" s="9" t="s">
        <v>193</v>
      </c>
    </row>
    <row r="67" customFormat="false" ht="26.85" hidden="false" customHeight="false" outlineLevel="0" collapsed="false">
      <c r="A67" s="6" t="s">
        <v>11</v>
      </c>
      <c r="B67" s="6" t="s">
        <v>450</v>
      </c>
      <c r="C67" s="6" t="s">
        <v>234</v>
      </c>
      <c r="D67" s="7" t="s">
        <v>451</v>
      </c>
      <c r="E67" s="6"/>
      <c r="F67" s="6"/>
      <c r="G67" s="6" t="s">
        <v>79</v>
      </c>
      <c r="H67" s="8" t="s">
        <v>270</v>
      </c>
      <c r="I67" s="8" t="s">
        <v>270</v>
      </c>
      <c r="J67" s="8"/>
      <c r="K67" s="9" t="s">
        <v>452</v>
      </c>
    </row>
    <row r="68" customFormat="false" ht="26.85" hidden="false" customHeight="false" outlineLevel="0" collapsed="false">
      <c r="A68" s="6" t="s">
        <v>11</v>
      </c>
      <c r="B68" s="6" t="s">
        <v>453</v>
      </c>
      <c r="C68" s="6" t="s">
        <v>454</v>
      </c>
      <c r="D68" s="7"/>
      <c r="E68" s="6"/>
      <c r="F68" s="6"/>
      <c r="G68" s="6" t="s">
        <v>79</v>
      </c>
      <c r="H68" s="8" t="s">
        <v>455</v>
      </c>
      <c r="I68" s="8" t="s">
        <v>270</v>
      </c>
      <c r="J68" s="8"/>
      <c r="K68" s="9" t="s">
        <v>452</v>
      </c>
    </row>
    <row r="69" customFormat="false" ht="26.85" hidden="false" customHeight="false" outlineLevel="0" collapsed="false">
      <c r="A69" s="22" t="s">
        <v>11</v>
      </c>
      <c r="B69" s="22" t="s">
        <v>456</v>
      </c>
      <c r="C69" s="22" t="s">
        <v>457</v>
      </c>
      <c r="D69" s="23"/>
      <c r="E69" s="22"/>
      <c r="F69" s="22"/>
      <c r="G69" s="22" t="s">
        <v>79</v>
      </c>
      <c r="H69" s="24" t="s">
        <v>270</v>
      </c>
      <c r="I69" s="24" t="s">
        <v>270</v>
      </c>
      <c r="J69" s="24"/>
      <c r="K69" s="9" t="s">
        <v>452</v>
      </c>
    </row>
    <row r="70" customFormat="false" ht="39.55" hidden="false" customHeight="false" outlineLevel="0" collapsed="false">
      <c r="A70" s="25" t="s">
        <v>11</v>
      </c>
      <c r="B70" s="25" t="s">
        <v>458</v>
      </c>
      <c r="C70" s="25" t="s">
        <v>459</v>
      </c>
      <c r="D70" s="26" t="s">
        <v>460</v>
      </c>
      <c r="E70" s="25" t="n">
        <f aca="false">34</f>
        <v>34</v>
      </c>
      <c r="F70" s="25"/>
      <c r="G70" s="25" t="s">
        <v>394</v>
      </c>
      <c r="H70" s="27" t="n">
        <f aca="false">VLOOKUP(G70,Klausurtage!$A$2:$B$15,2,FALSE())</f>
        <v>46053</v>
      </c>
      <c r="I70" s="25" t="s">
        <v>440</v>
      </c>
      <c r="J70" s="25" t="s">
        <v>57</v>
      </c>
      <c r="K70" s="35" t="s">
        <v>461</v>
      </c>
    </row>
    <row r="71" customFormat="false" ht="13.8" hidden="false" customHeight="false" outlineLevel="0" collapsed="false">
      <c r="A71" s="6" t="s">
        <v>11</v>
      </c>
      <c r="B71" s="6" t="s">
        <v>462</v>
      </c>
      <c r="C71" s="6" t="s">
        <v>463</v>
      </c>
      <c r="D71" s="7" t="s">
        <v>464</v>
      </c>
      <c r="E71" s="6"/>
      <c r="F71" s="6"/>
      <c r="G71" s="6" t="s">
        <v>79</v>
      </c>
      <c r="H71" s="8" t="s">
        <v>270</v>
      </c>
      <c r="I71" s="8" t="s">
        <v>270</v>
      </c>
      <c r="J71" s="8"/>
      <c r="K71" s="9" t="s">
        <v>465</v>
      </c>
    </row>
    <row r="72" customFormat="false" ht="13.8" hidden="false" customHeight="false" outlineLevel="0" collapsed="false">
      <c r="A72" s="6" t="s">
        <v>11</v>
      </c>
      <c r="B72" s="6" t="s">
        <v>466</v>
      </c>
      <c r="C72" s="6" t="s">
        <v>467</v>
      </c>
      <c r="D72" s="7" t="s">
        <v>468</v>
      </c>
      <c r="E72" s="6"/>
      <c r="F72" s="6"/>
      <c r="G72" s="6" t="s">
        <v>79</v>
      </c>
      <c r="H72" s="8" t="s">
        <v>270</v>
      </c>
      <c r="I72" s="8" t="s">
        <v>270</v>
      </c>
      <c r="J72" s="8"/>
      <c r="K72" s="9" t="s">
        <v>469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4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3.75"/>
    <col collapsed="false" customWidth="true" hidden="false" outlineLevel="0" max="3" min="3" style="1" width="34.44"/>
    <col collapsed="false" customWidth="true" hidden="false" outlineLevel="0" max="4" min="4" style="1" width="11.89"/>
    <col collapsed="false" customWidth="true" hidden="false" outlineLevel="0" max="5" min="5" style="1" width="12.11"/>
    <col collapsed="false" customWidth="true" hidden="false" outlineLevel="0" max="6" min="6" style="1" width="15.11"/>
    <col collapsed="false" customWidth="true" hidden="false" outlineLevel="0" max="7" min="7" style="1" width="24.87"/>
    <col collapsed="false" customWidth="true" hidden="false" outlineLevel="0" max="8" min="8" style="2" width="26.83"/>
    <col collapsed="false" customWidth="true" hidden="false" outlineLevel="0" max="9" min="9" style="43" width="14.56"/>
    <col collapsed="false" customWidth="true" hidden="false" outlineLevel="0" max="10" min="10" style="43" width="14.34"/>
    <col collapsed="false" customWidth="true" hidden="false" outlineLevel="0" max="11" min="11" style="1" width="54.89"/>
    <col collapsed="false" customWidth="false" hidden="false" outlineLevel="0" max="16384" min="12" style="1" width="11.45"/>
  </cols>
  <sheetData>
    <row r="1" customFormat="false" ht="60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470</v>
      </c>
      <c r="C2" s="6" t="s">
        <v>471</v>
      </c>
      <c r="D2" s="7" t="n">
        <v>1101</v>
      </c>
      <c r="E2" s="6"/>
      <c r="F2" s="6"/>
      <c r="G2" s="6" t="s">
        <v>79</v>
      </c>
      <c r="H2" s="8" t="s">
        <v>270</v>
      </c>
      <c r="I2" s="44" t="s">
        <v>270</v>
      </c>
      <c r="J2" s="44"/>
      <c r="K2" s="6" t="s">
        <v>472</v>
      </c>
    </row>
    <row r="3" customFormat="false" ht="13.8" hidden="false" customHeight="false" outlineLevel="0" collapsed="false">
      <c r="A3" s="6" t="s">
        <v>11</v>
      </c>
      <c r="B3" s="6" t="s">
        <v>473</v>
      </c>
      <c r="C3" s="6" t="s">
        <v>471</v>
      </c>
      <c r="D3" s="7"/>
      <c r="E3" s="6"/>
      <c r="F3" s="6"/>
      <c r="G3" s="6" t="s">
        <v>79</v>
      </c>
      <c r="H3" s="8" t="s">
        <v>270</v>
      </c>
      <c r="I3" s="44" t="s">
        <v>270</v>
      </c>
      <c r="J3" s="44"/>
      <c r="K3" s="6" t="s">
        <v>474</v>
      </c>
    </row>
    <row r="4" customFormat="false" ht="13.8" hidden="false" customHeight="false" outlineLevel="0" collapsed="false">
      <c r="A4" s="6" t="s">
        <v>11</v>
      </c>
      <c r="B4" s="6" t="s">
        <v>475</v>
      </c>
      <c r="C4" s="6" t="s">
        <v>476</v>
      </c>
      <c r="D4" s="7" t="n">
        <v>1102</v>
      </c>
      <c r="E4" s="6"/>
      <c r="F4" s="6"/>
      <c r="G4" s="6" t="s">
        <v>79</v>
      </c>
      <c r="H4" s="8" t="s">
        <v>270</v>
      </c>
      <c r="I4" s="44" t="s">
        <v>270</v>
      </c>
      <c r="J4" s="44"/>
      <c r="K4" s="6" t="s">
        <v>218</v>
      </c>
    </row>
    <row r="5" customFormat="false" ht="13.8" hidden="false" customHeight="false" outlineLevel="0" collapsed="false">
      <c r="A5" s="6" t="s">
        <v>11</v>
      </c>
      <c r="B5" s="6" t="s">
        <v>477</v>
      </c>
      <c r="C5" s="6" t="s">
        <v>476</v>
      </c>
      <c r="D5" s="7"/>
      <c r="E5" s="6"/>
      <c r="F5" s="6"/>
      <c r="G5" s="6" t="s">
        <v>79</v>
      </c>
      <c r="H5" s="8" t="s">
        <v>270</v>
      </c>
      <c r="I5" s="44" t="s">
        <v>270</v>
      </c>
      <c r="J5" s="44"/>
      <c r="K5" s="6" t="s">
        <v>478</v>
      </c>
    </row>
    <row r="6" customFormat="false" ht="13.8" hidden="false" customHeight="false" outlineLevel="0" collapsed="false">
      <c r="A6" s="6" t="s">
        <v>11</v>
      </c>
      <c r="B6" s="6" t="s">
        <v>479</v>
      </c>
      <c r="C6" s="6" t="s">
        <v>480</v>
      </c>
      <c r="D6" s="7" t="n">
        <v>1103</v>
      </c>
      <c r="E6" s="6" t="n">
        <f aca="false">38</f>
        <v>38</v>
      </c>
      <c r="F6" s="6"/>
      <c r="G6" s="6" t="s">
        <v>40</v>
      </c>
      <c r="H6" s="8" t="n">
        <f aca="false">VLOOKUP(G6,Klausurtage!$A$2:$B$15,2,FALSE())</f>
        <v>46043</v>
      </c>
      <c r="I6" s="44" t="s">
        <v>481</v>
      </c>
      <c r="J6" s="44" t="s">
        <v>61</v>
      </c>
      <c r="K6" s="6" t="s">
        <v>482</v>
      </c>
    </row>
    <row r="7" customFormat="false" ht="13.8" hidden="false" customHeight="false" outlineLevel="0" collapsed="false">
      <c r="A7" s="6" t="s">
        <v>11</v>
      </c>
      <c r="B7" s="6" t="s">
        <v>483</v>
      </c>
      <c r="C7" s="6" t="s">
        <v>480</v>
      </c>
      <c r="D7" s="7"/>
      <c r="E7" s="6" t="n">
        <f aca="false">33</f>
        <v>33</v>
      </c>
      <c r="F7" s="6"/>
      <c r="G7" s="6" t="s">
        <v>40</v>
      </c>
      <c r="H7" s="8" t="n">
        <f aca="false">VLOOKUP(G7,Klausurtage!$A$2:$B$15,2,FALSE())</f>
        <v>46043</v>
      </c>
      <c r="I7" s="44" t="s">
        <v>481</v>
      </c>
      <c r="J7" s="44" t="s">
        <v>166</v>
      </c>
      <c r="K7" s="6" t="s">
        <v>484</v>
      </c>
    </row>
    <row r="8" customFormat="false" ht="13.8" hidden="false" customHeight="false" outlineLevel="0" collapsed="false">
      <c r="A8" s="6" t="s">
        <v>11</v>
      </c>
      <c r="B8" s="6" t="s">
        <v>485</v>
      </c>
      <c r="C8" s="6" t="s">
        <v>486</v>
      </c>
      <c r="D8" s="7" t="n">
        <v>1105</v>
      </c>
      <c r="E8" s="6" t="n">
        <f aca="false">40</f>
        <v>40</v>
      </c>
      <c r="F8" s="6"/>
      <c r="G8" s="6" t="s">
        <v>52</v>
      </c>
      <c r="H8" s="8" t="n">
        <f aca="false">VLOOKUP(G8,Klausurtage!$A$2:$B$15,2,FALSE())</f>
        <v>46045</v>
      </c>
      <c r="I8" s="44" t="s">
        <v>114</v>
      </c>
      <c r="J8" s="44" t="s">
        <v>17</v>
      </c>
      <c r="K8" s="6" t="s">
        <v>474</v>
      </c>
    </row>
    <row r="9" customFormat="false" ht="13.8" hidden="false" customHeight="false" outlineLevel="0" collapsed="false">
      <c r="A9" s="6" t="s">
        <v>11</v>
      </c>
      <c r="B9" s="6" t="s">
        <v>487</v>
      </c>
      <c r="C9" s="6" t="s">
        <v>486</v>
      </c>
      <c r="D9" s="7"/>
      <c r="E9" s="6" t="n">
        <f aca="false">37</f>
        <v>37</v>
      </c>
      <c r="F9" s="6"/>
      <c r="G9" s="6" t="s">
        <v>52</v>
      </c>
      <c r="H9" s="8" t="n">
        <f aca="false">VLOOKUP(G9,Klausurtage!$A$2:$B$15,2,FALSE())</f>
        <v>46045</v>
      </c>
      <c r="I9" s="44" t="s">
        <v>114</v>
      </c>
      <c r="J9" s="44" t="s">
        <v>17</v>
      </c>
      <c r="K9" s="6" t="s">
        <v>488</v>
      </c>
    </row>
    <row r="10" customFormat="false" ht="13.8" hidden="false" customHeight="false" outlineLevel="0" collapsed="false">
      <c r="A10" s="6" t="s">
        <v>11</v>
      </c>
      <c r="B10" s="6" t="s">
        <v>489</v>
      </c>
      <c r="C10" s="6" t="s">
        <v>490</v>
      </c>
      <c r="D10" s="7" t="s">
        <v>491</v>
      </c>
      <c r="E10" s="6"/>
      <c r="F10" s="6"/>
      <c r="G10" s="6" t="s">
        <v>79</v>
      </c>
      <c r="H10" s="8" t="s">
        <v>270</v>
      </c>
      <c r="I10" s="44" t="s">
        <v>270</v>
      </c>
      <c r="J10" s="44"/>
      <c r="K10" s="6" t="s">
        <v>492</v>
      </c>
    </row>
    <row r="11" customFormat="false" ht="13.8" hidden="false" customHeight="false" outlineLevel="0" collapsed="false">
      <c r="A11" s="6" t="s">
        <v>11</v>
      </c>
      <c r="B11" s="6" t="s">
        <v>493</v>
      </c>
      <c r="C11" s="6" t="s">
        <v>490</v>
      </c>
      <c r="D11" s="7"/>
      <c r="E11" s="6"/>
      <c r="F11" s="6"/>
      <c r="G11" s="6" t="s">
        <v>79</v>
      </c>
      <c r="H11" s="8" t="s">
        <v>270</v>
      </c>
      <c r="I11" s="44" t="s">
        <v>270</v>
      </c>
      <c r="J11" s="44"/>
      <c r="K11" s="6" t="s">
        <v>492</v>
      </c>
    </row>
    <row r="12" customFormat="false" ht="13.8" hidden="false" customHeight="false" outlineLevel="0" collapsed="false">
      <c r="A12" s="6" t="s">
        <v>11</v>
      </c>
      <c r="B12" s="6" t="s">
        <v>494</v>
      </c>
      <c r="C12" s="6" t="s">
        <v>495</v>
      </c>
      <c r="D12" s="7" t="n">
        <v>1106</v>
      </c>
      <c r="E12" s="6" t="n">
        <f aca="false">38</f>
        <v>38</v>
      </c>
      <c r="F12" s="6"/>
      <c r="G12" s="6" t="s">
        <v>113</v>
      </c>
      <c r="H12" s="8" t="n">
        <f aca="false">VLOOKUP(G12,Klausurtage!$A$2:$B$15,2,FALSE())</f>
        <v>46049</v>
      </c>
      <c r="I12" s="44" t="s">
        <v>28</v>
      </c>
      <c r="J12" s="44" t="s">
        <v>17</v>
      </c>
      <c r="K12" s="6" t="s">
        <v>74</v>
      </c>
    </row>
    <row r="13" customFormat="false" ht="13.8" hidden="false" customHeight="false" outlineLevel="0" collapsed="false">
      <c r="A13" s="22" t="s">
        <v>11</v>
      </c>
      <c r="B13" s="22" t="s">
        <v>496</v>
      </c>
      <c r="C13" s="22" t="s">
        <v>495</v>
      </c>
      <c r="D13" s="23"/>
      <c r="E13" s="22" t="n">
        <f aca="false">37</f>
        <v>37</v>
      </c>
      <c r="F13" s="22"/>
      <c r="G13" s="22" t="s">
        <v>113</v>
      </c>
      <c r="H13" s="24" t="n">
        <f aca="false">VLOOKUP(G13,Klausurtage!$A$2:$B$15,2,FALSE())</f>
        <v>46049</v>
      </c>
      <c r="I13" s="45" t="s">
        <v>28</v>
      </c>
      <c r="J13" s="45" t="s">
        <v>17</v>
      </c>
      <c r="K13" s="22" t="s">
        <v>67</v>
      </c>
    </row>
    <row r="14" customFormat="false" ht="13.8" hidden="false" customHeight="false" outlineLevel="0" collapsed="false">
      <c r="A14" s="25" t="s">
        <v>497</v>
      </c>
      <c r="B14" s="25" t="s">
        <v>498</v>
      </c>
      <c r="C14" s="25" t="s">
        <v>499</v>
      </c>
      <c r="D14" s="26" t="n">
        <v>1201</v>
      </c>
      <c r="E14" s="25" t="n">
        <f aca="false">1+1</f>
        <v>2</v>
      </c>
      <c r="F14" s="25"/>
      <c r="G14" s="25" t="s">
        <v>27</v>
      </c>
      <c r="H14" s="27" t="n">
        <f aca="false">VLOOKUP(G14,Klausurtage!$A$2:$B$15,2,FALSE())</f>
        <v>46048</v>
      </c>
      <c r="I14" s="46" t="s">
        <v>198</v>
      </c>
      <c r="J14" s="46" t="s">
        <v>94</v>
      </c>
      <c r="K14" s="25" t="s">
        <v>474</v>
      </c>
    </row>
    <row r="15" customFormat="false" ht="13.8" hidden="false" customHeight="false" outlineLevel="0" collapsed="false">
      <c r="A15" s="6" t="s">
        <v>497</v>
      </c>
      <c r="B15" s="6" t="s">
        <v>500</v>
      </c>
      <c r="C15" s="6" t="s">
        <v>499</v>
      </c>
      <c r="D15" s="7"/>
      <c r="E15" s="6" t="n">
        <f aca="false">4</f>
        <v>4</v>
      </c>
      <c r="F15" s="6"/>
      <c r="G15" s="6" t="s">
        <v>27</v>
      </c>
      <c r="H15" s="8" t="n">
        <f aca="false">VLOOKUP(G15,Klausurtage!$A$2:$B$15,2,FALSE())</f>
        <v>46048</v>
      </c>
      <c r="I15" s="44" t="s">
        <v>198</v>
      </c>
      <c r="J15" s="44" t="s">
        <v>94</v>
      </c>
      <c r="K15" s="6" t="s">
        <v>472</v>
      </c>
    </row>
    <row r="16" customFormat="false" ht="13.8" hidden="false" customHeight="false" outlineLevel="0" collapsed="false">
      <c r="A16" s="6" t="s">
        <v>497</v>
      </c>
      <c r="B16" s="6" t="s">
        <v>501</v>
      </c>
      <c r="C16" s="6" t="s">
        <v>502</v>
      </c>
      <c r="D16" s="7" t="n">
        <v>1202</v>
      </c>
      <c r="E16" s="6" t="n">
        <f aca="false">6</f>
        <v>6</v>
      </c>
      <c r="F16" s="6"/>
      <c r="G16" s="6" t="s">
        <v>65</v>
      </c>
      <c r="H16" s="8" t="n">
        <f aca="false">VLOOKUP(G16,Klausurtage!$A$2:$B$15,2,FALSE())</f>
        <v>46050</v>
      </c>
      <c r="I16" s="44" t="s">
        <v>198</v>
      </c>
      <c r="J16" s="44" t="s">
        <v>282</v>
      </c>
      <c r="K16" s="6" t="s">
        <v>503</v>
      </c>
    </row>
    <row r="17" customFormat="false" ht="13.8" hidden="false" customHeight="false" outlineLevel="0" collapsed="false">
      <c r="A17" s="6" t="s">
        <v>497</v>
      </c>
      <c r="B17" s="6" t="s">
        <v>504</v>
      </c>
      <c r="C17" s="6" t="s">
        <v>502</v>
      </c>
      <c r="D17" s="7"/>
      <c r="E17" s="6" t="n">
        <f aca="false">19</f>
        <v>19</v>
      </c>
      <c r="F17" s="6"/>
      <c r="G17" s="6" t="s">
        <v>65</v>
      </c>
      <c r="H17" s="8" t="n">
        <f aca="false">VLOOKUP(G17,Klausurtage!$A$2:$B$15,2,FALSE())</f>
        <v>46050</v>
      </c>
      <c r="I17" s="44" t="s">
        <v>198</v>
      </c>
      <c r="J17" s="44" t="s">
        <v>282</v>
      </c>
      <c r="K17" s="6" t="s">
        <v>503</v>
      </c>
    </row>
    <row r="18" customFormat="false" ht="13.8" hidden="false" customHeight="false" outlineLevel="0" collapsed="false">
      <c r="A18" s="6" t="s">
        <v>497</v>
      </c>
      <c r="B18" s="6" t="s">
        <v>505</v>
      </c>
      <c r="C18" s="6" t="s">
        <v>506</v>
      </c>
      <c r="D18" s="7" t="n">
        <v>1203</v>
      </c>
      <c r="E18" s="6" t="n">
        <f aca="false">4</f>
        <v>4</v>
      </c>
      <c r="F18" s="6"/>
      <c r="G18" s="6" t="s">
        <v>52</v>
      </c>
      <c r="H18" s="8" t="n">
        <f aca="false">VLOOKUP(G18,Klausurtage!$A$2:$B$15,2,FALSE())</f>
        <v>46045</v>
      </c>
      <c r="I18" s="44" t="s">
        <v>198</v>
      </c>
      <c r="J18" s="44" t="s">
        <v>92</v>
      </c>
      <c r="K18" s="6" t="s">
        <v>482</v>
      </c>
    </row>
    <row r="19" customFormat="false" ht="13.8" hidden="false" customHeight="false" outlineLevel="0" collapsed="false">
      <c r="A19" s="6" t="s">
        <v>497</v>
      </c>
      <c r="B19" s="6" t="s">
        <v>507</v>
      </c>
      <c r="C19" s="6" t="s">
        <v>506</v>
      </c>
      <c r="D19" s="7"/>
      <c r="E19" s="6" t="n">
        <f aca="false">8</f>
        <v>8</v>
      </c>
      <c r="F19" s="6"/>
      <c r="G19" s="6" t="s">
        <v>52</v>
      </c>
      <c r="H19" s="8" t="n">
        <f aca="false">VLOOKUP(G19,Klausurtage!$A$2:$B$15,2,FALSE())</f>
        <v>46045</v>
      </c>
      <c r="I19" s="44" t="s">
        <v>198</v>
      </c>
      <c r="J19" s="44" t="s">
        <v>92</v>
      </c>
      <c r="K19" s="6" t="s">
        <v>482</v>
      </c>
    </row>
    <row r="20" customFormat="false" ht="13.8" hidden="false" customHeight="false" outlineLevel="0" collapsed="false">
      <c r="A20" s="6" t="s">
        <v>497</v>
      </c>
      <c r="B20" s="6" t="s">
        <v>508</v>
      </c>
      <c r="C20" s="6" t="s">
        <v>509</v>
      </c>
      <c r="D20" s="7" t="n">
        <v>1204</v>
      </c>
      <c r="E20" s="6"/>
      <c r="F20" s="6"/>
      <c r="G20" s="6" t="s">
        <v>79</v>
      </c>
      <c r="H20" s="8" t="s">
        <v>270</v>
      </c>
      <c r="I20" s="44" t="s">
        <v>270</v>
      </c>
      <c r="J20" s="44"/>
      <c r="K20" s="6" t="s">
        <v>510</v>
      </c>
    </row>
    <row r="21" customFormat="false" ht="13.8" hidden="false" customHeight="false" outlineLevel="0" collapsed="false">
      <c r="A21" s="6" t="s">
        <v>497</v>
      </c>
      <c r="B21" s="6" t="s">
        <v>511</v>
      </c>
      <c r="C21" s="6" t="s">
        <v>509</v>
      </c>
      <c r="D21" s="7"/>
      <c r="E21" s="6"/>
      <c r="F21" s="6"/>
      <c r="G21" s="6" t="s">
        <v>79</v>
      </c>
      <c r="H21" s="8" t="s">
        <v>270</v>
      </c>
      <c r="I21" s="44" t="s">
        <v>270</v>
      </c>
      <c r="J21" s="44"/>
      <c r="K21" s="6" t="s">
        <v>510</v>
      </c>
    </row>
    <row r="22" customFormat="false" ht="13.8" hidden="false" customHeight="false" outlineLevel="0" collapsed="false">
      <c r="A22" s="6" t="s">
        <v>497</v>
      </c>
      <c r="B22" s="6" t="s">
        <v>512</v>
      </c>
      <c r="C22" s="6" t="s">
        <v>513</v>
      </c>
      <c r="D22" s="7" t="n">
        <v>1205</v>
      </c>
      <c r="E22" s="6" t="n">
        <f aca="false">13</f>
        <v>13</v>
      </c>
      <c r="F22" s="6"/>
      <c r="G22" s="6" t="s">
        <v>125</v>
      </c>
      <c r="H22" s="8" t="n">
        <f aca="false">VLOOKUP(G22,Klausurtage!$A$2:$B$15,2,FALSE())</f>
        <v>46042</v>
      </c>
      <c r="I22" s="44" t="s">
        <v>481</v>
      </c>
      <c r="J22" s="44" t="s">
        <v>449</v>
      </c>
      <c r="K22" s="6" t="s">
        <v>514</v>
      </c>
    </row>
    <row r="23" customFormat="false" ht="13.8" hidden="false" customHeight="false" outlineLevel="0" collapsed="false">
      <c r="A23" s="6" t="s">
        <v>497</v>
      </c>
      <c r="B23" s="6" t="s">
        <v>515</v>
      </c>
      <c r="C23" s="6" t="s">
        <v>513</v>
      </c>
      <c r="D23" s="7"/>
      <c r="E23" s="6" t="n">
        <f aca="false">19</f>
        <v>19</v>
      </c>
      <c r="F23" s="6"/>
      <c r="G23" s="6" t="s">
        <v>125</v>
      </c>
      <c r="H23" s="8" t="n">
        <f aca="false">VLOOKUP(G23,Klausurtage!$A$2:$B$15,2,FALSE())</f>
        <v>46042</v>
      </c>
      <c r="I23" s="44" t="s">
        <v>481</v>
      </c>
      <c r="J23" s="44" t="s">
        <v>516</v>
      </c>
      <c r="K23" s="6" t="s">
        <v>514</v>
      </c>
    </row>
    <row r="24" customFormat="false" ht="26.85" hidden="false" customHeight="false" outlineLevel="0" collapsed="false">
      <c r="A24" s="6" t="s">
        <v>497</v>
      </c>
      <c r="B24" s="6" t="s">
        <v>517</v>
      </c>
      <c r="C24" s="6" t="s">
        <v>518</v>
      </c>
      <c r="D24" s="7" t="n">
        <v>1206</v>
      </c>
      <c r="E24" s="6" t="n">
        <f aca="false">18</f>
        <v>18</v>
      </c>
      <c r="F24" s="6"/>
      <c r="G24" s="6" t="s">
        <v>103</v>
      </c>
      <c r="H24" s="8" t="n">
        <f aca="false">VLOOKUP(G24,Klausurtage!$A$2:$B$15,2,FALSE())</f>
        <v>46044</v>
      </c>
      <c r="I24" s="44" t="s">
        <v>114</v>
      </c>
      <c r="J24" s="44" t="s">
        <v>519</v>
      </c>
      <c r="K24" s="9" t="s">
        <v>520</v>
      </c>
    </row>
    <row r="25" customFormat="false" ht="26.85" hidden="false" customHeight="false" outlineLevel="0" collapsed="false">
      <c r="A25" s="22" t="s">
        <v>497</v>
      </c>
      <c r="B25" s="22" t="s">
        <v>521</v>
      </c>
      <c r="C25" s="22" t="s">
        <v>518</v>
      </c>
      <c r="D25" s="23"/>
      <c r="E25" s="22" t="n">
        <f aca="false">29</f>
        <v>29</v>
      </c>
      <c r="F25" s="22"/>
      <c r="G25" s="22" t="s">
        <v>103</v>
      </c>
      <c r="H25" s="24" t="n">
        <f aca="false">VLOOKUP(G25,Klausurtage!$A$2:$B$15,2,FALSE())</f>
        <v>46044</v>
      </c>
      <c r="I25" s="45" t="s">
        <v>114</v>
      </c>
      <c r="J25" s="45" t="s">
        <v>338</v>
      </c>
      <c r="K25" s="34" t="s">
        <v>522</v>
      </c>
    </row>
    <row r="26" customFormat="false" ht="13.8" hidden="false" customHeight="false" outlineLevel="0" collapsed="false">
      <c r="A26" s="25" t="s">
        <v>11</v>
      </c>
      <c r="B26" s="25" t="s">
        <v>523</v>
      </c>
      <c r="C26" s="25" t="s">
        <v>524</v>
      </c>
      <c r="D26" s="26" t="n">
        <v>1302</v>
      </c>
      <c r="E26" s="25" t="n">
        <f aca="false">35+2</f>
        <v>37</v>
      </c>
      <c r="F26" s="25"/>
      <c r="G26" s="25" t="s">
        <v>40</v>
      </c>
      <c r="H26" s="27" t="n">
        <f aca="false">VLOOKUP(G26,Klausurtage!$A$2:$B$15,2,FALSE())</f>
        <v>46043</v>
      </c>
      <c r="I26" s="46" t="s">
        <v>525</v>
      </c>
      <c r="J26" s="46" t="s">
        <v>17</v>
      </c>
      <c r="K26" s="35" t="s">
        <v>526</v>
      </c>
    </row>
    <row r="27" customFormat="false" ht="13.8" hidden="false" customHeight="false" outlineLevel="0" collapsed="false">
      <c r="A27" s="6" t="s">
        <v>11</v>
      </c>
      <c r="B27" s="6" t="s">
        <v>527</v>
      </c>
      <c r="C27" s="6" t="s">
        <v>524</v>
      </c>
      <c r="D27" s="7"/>
      <c r="E27" s="6" t="n">
        <f aca="false">24+1</f>
        <v>25</v>
      </c>
      <c r="F27" s="6"/>
      <c r="G27" s="6" t="s">
        <v>40</v>
      </c>
      <c r="H27" s="8" t="n">
        <f aca="false">VLOOKUP(G27,Klausurtage!$A$2:$B$15,2,FALSE())</f>
        <v>46043</v>
      </c>
      <c r="I27" s="44" t="s">
        <v>525</v>
      </c>
      <c r="J27" s="44" t="s">
        <v>17</v>
      </c>
      <c r="K27" s="9" t="s">
        <v>528</v>
      </c>
    </row>
    <row r="28" customFormat="false" ht="13.8" hidden="false" customHeight="false" outlineLevel="0" collapsed="false">
      <c r="A28" s="6" t="s">
        <v>11</v>
      </c>
      <c r="B28" s="6" t="s">
        <v>529</v>
      </c>
      <c r="C28" s="6" t="s">
        <v>530</v>
      </c>
      <c r="D28" s="7" t="n">
        <v>1303</v>
      </c>
      <c r="E28" s="6" t="n">
        <f aca="false">35</f>
        <v>35</v>
      </c>
      <c r="F28" s="6"/>
      <c r="G28" s="6" t="s">
        <v>113</v>
      </c>
      <c r="H28" s="8" t="n">
        <f aca="false">VLOOKUP(G28,Klausurtage!$A$2:$B$15,2,FALSE())</f>
        <v>46049</v>
      </c>
      <c r="I28" s="44" t="s">
        <v>28</v>
      </c>
      <c r="J28" s="44" t="s">
        <v>61</v>
      </c>
      <c r="K28" s="9" t="s">
        <v>531</v>
      </c>
    </row>
    <row r="29" customFormat="false" ht="13.8" hidden="false" customHeight="false" outlineLevel="0" collapsed="false">
      <c r="A29" s="6" t="s">
        <v>11</v>
      </c>
      <c r="B29" s="6" t="s">
        <v>532</v>
      </c>
      <c r="C29" s="6" t="s">
        <v>530</v>
      </c>
      <c r="D29" s="7"/>
      <c r="E29" s="6" t="n">
        <f aca="false">25</f>
        <v>25</v>
      </c>
      <c r="F29" s="6"/>
      <c r="G29" s="6" t="s">
        <v>113</v>
      </c>
      <c r="H29" s="8" t="n">
        <f aca="false">VLOOKUP(G29,Klausurtage!$A$2:$B$15,2,FALSE())</f>
        <v>46049</v>
      </c>
      <c r="I29" s="44" t="s">
        <v>28</v>
      </c>
      <c r="J29" s="44" t="s">
        <v>166</v>
      </c>
      <c r="K29" s="9" t="s">
        <v>531</v>
      </c>
    </row>
    <row r="30" customFormat="false" ht="26.85" hidden="false" customHeight="false" outlineLevel="0" collapsed="false">
      <c r="A30" s="6" t="s">
        <v>11</v>
      </c>
      <c r="B30" s="6" t="s">
        <v>533</v>
      </c>
      <c r="C30" s="6" t="s">
        <v>534</v>
      </c>
      <c r="D30" s="7" t="n">
        <v>1305</v>
      </c>
      <c r="E30" s="6" t="n">
        <f aca="false">37+1</f>
        <v>38</v>
      </c>
      <c r="F30" s="6"/>
      <c r="G30" s="6" t="s">
        <v>88</v>
      </c>
      <c r="H30" s="8" t="n">
        <f aca="false">VLOOKUP(G30,Klausurtage!$A$2:$B$15,2,FALSE())</f>
        <v>46051</v>
      </c>
      <c r="I30" s="44" t="s">
        <v>481</v>
      </c>
      <c r="J30" s="44" t="s">
        <v>535</v>
      </c>
      <c r="K30" s="9" t="s">
        <v>536</v>
      </c>
    </row>
    <row r="31" customFormat="false" ht="13.8" hidden="false" customHeight="false" outlineLevel="0" collapsed="false">
      <c r="A31" s="6" t="s">
        <v>11</v>
      </c>
      <c r="B31" s="6" t="s">
        <v>537</v>
      </c>
      <c r="C31" s="6" t="s">
        <v>534</v>
      </c>
      <c r="D31" s="7"/>
      <c r="E31" s="6" t="n">
        <f aca="false">24+1</f>
        <v>25</v>
      </c>
      <c r="F31" s="6"/>
      <c r="G31" s="6" t="s">
        <v>88</v>
      </c>
      <c r="H31" s="8" t="n">
        <f aca="false">VLOOKUP(G31,Klausurtage!$A$2:$B$15,2,FALSE())</f>
        <v>46051</v>
      </c>
      <c r="I31" s="44" t="s">
        <v>481</v>
      </c>
      <c r="J31" s="44" t="s">
        <v>361</v>
      </c>
      <c r="K31" s="9" t="s">
        <v>538</v>
      </c>
    </row>
    <row r="32" customFormat="false" ht="13.8" hidden="false" customHeight="false" outlineLevel="0" collapsed="false">
      <c r="A32" s="6" t="s">
        <v>11</v>
      </c>
      <c r="B32" s="6" t="s">
        <v>539</v>
      </c>
      <c r="C32" s="6" t="s">
        <v>540</v>
      </c>
      <c r="D32" s="7" t="n">
        <v>1306</v>
      </c>
      <c r="E32" s="6" t="n">
        <f aca="false">33</f>
        <v>33</v>
      </c>
      <c r="F32" s="6"/>
      <c r="G32" s="6" t="s">
        <v>79</v>
      </c>
      <c r="H32" s="8" t="s">
        <v>541</v>
      </c>
      <c r="I32" s="44" t="s">
        <v>270</v>
      </c>
      <c r="J32" s="44"/>
      <c r="K32" s="9" t="s">
        <v>510</v>
      </c>
    </row>
    <row r="33" customFormat="false" ht="13.8" hidden="false" customHeight="false" outlineLevel="0" collapsed="false">
      <c r="A33" s="6" t="s">
        <v>11</v>
      </c>
      <c r="B33" s="6" t="s">
        <v>542</v>
      </c>
      <c r="C33" s="6" t="s">
        <v>540</v>
      </c>
      <c r="D33" s="7"/>
      <c r="E33" s="6" t="n">
        <f aca="false">21+1</f>
        <v>22</v>
      </c>
      <c r="F33" s="6"/>
      <c r="G33" s="6" t="s">
        <v>79</v>
      </c>
      <c r="H33" s="8" t="s">
        <v>541</v>
      </c>
      <c r="I33" s="44" t="s">
        <v>270</v>
      </c>
      <c r="J33" s="44"/>
      <c r="K33" s="9" t="s">
        <v>510</v>
      </c>
    </row>
    <row r="34" customFormat="false" ht="13.8" hidden="false" customHeight="false" outlineLevel="0" collapsed="false">
      <c r="A34" s="6" t="s">
        <v>11</v>
      </c>
      <c r="B34" s="6" t="s">
        <v>543</v>
      </c>
      <c r="C34" s="6" t="s">
        <v>544</v>
      </c>
      <c r="D34" s="7" t="n">
        <v>1307</v>
      </c>
      <c r="E34" s="6"/>
      <c r="F34" s="6"/>
      <c r="G34" s="6" t="s">
        <v>79</v>
      </c>
      <c r="H34" s="8" t="s">
        <v>545</v>
      </c>
      <c r="I34" s="44" t="s">
        <v>270</v>
      </c>
      <c r="J34" s="44"/>
      <c r="K34" s="9" t="s">
        <v>546</v>
      </c>
    </row>
    <row r="35" customFormat="false" ht="13.8" hidden="false" customHeight="false" outlineLevel="0" collapsed="false">
      <c r="A35" s="6" t="s">
        <v>11</v>
      </c>
      <c r="B35" s="6" t="s">
        <v>547</v>
      </c>
      <c r="C35" s="6" t="s">
        <v>544</v>
      </c>
      <c r="D35" s="7"/>
      <c r="E35" s="6"/>
      <c r="F35" s="6"/>
      <c r="G35" s="6" t="s">
        <v>79</v>
      </c>
      <c r="H35" s="8" t="s">
        <v>545</v>
      </c>
      <c r="I35" s="44" t="s">
        <v>270</v>
      </c>
      <c r="J35" s="44"/>
      <c r="K35" s="9" t="s">
        <v>546</v>
      </c>
    </row>
    <row r="36" customFormat="false" ht="26.85" hidden="false" customHeight="false" outlineLevel="0" collapsed="false">
      <c r="A36" s="6" t="s">
        <v>11</v>
      </c>
      <c r="B36" s="6" t="s">
        <v>548</v>
      </c>
      <c r="C36" s="6" t="s">
        <v>549</v>
      </c>
      <c r="D36" s="7"/>
      <c r="E36" s="6"/>
      <c r="F36" s="6"/>
      <c r="G36" s="6" t="s">
        <v>79</v>
      </c>
      <c r="H36" s="8" t="s">
        <v>270</v>
      </c>
      <c r="I36" s="44" t="s">
        <v>270</v>
      </c>
      <c r="J36" s="44"/>
      <c r="K36" s="9" t="s">
        <v>550</v>
      </c>
    </row>
    <row r="37" customFormat="false" ht="26.85" hidden="false" customHeight="false" outlineLevel="0" collapsed="false">
      <c r="A37" s="22" t="s">
        <v>11</v>
      </c>
      <c r="B37" s="22" t="s">
        <v>551</v>
      </c>
      <c r="C37" s="22" t="s">
        <v>549</v>
      </c>
      <c r="D37" s="23"/>
      <c r="E37" s="22"/>
      <c r="F37" s="22"/>
      <c r="G37" s="22" t="s">
        <v>79</v>
      </c>
      <c r="H37" s="24" t="s">
        <v>270</v>
      </c>
      <c r="I37" s="45" t="s">
        <v>270</v>
      </c>
      <c r="J37" s="45"/>
      <c r="K37" s="34" t="s">
        <v>550</v>
      </c>
    </row>
    <row r="38" customFormat="false" ht="13.8" hidden="false" customHeight="false" outlineLevel="0" collapsed="false">
      <c r="A38" s="25" t="s">
        <v>497</v>
      </c>
      <c r="B38" s="25" t="s">
        <v>552</v>
      </c>
      <c r="C38" s="25" t="s">
        <v>553</v>
      </c>
      <c r="D38" s="26" t="n">
        <v>1401</v>
      </c>
      <c r="E38" s="25"/>
      <c r="F38" s="25"/>
      <c r="G38" s="25" t="s">
        <v>79</v>
      </c>
      <c r="H38" s="27" t="s">
        <v>554</v>
      </c>
      <c r="I38" s="46" t="s">
        <v>270</v>
      </c>
      <c r="J38" s="46"/>
      <c r="K38" s="35" t="s">
        <v>482</v>
      </c>
    </row>
    <row r="39" customFormat="false" ht="26.85" hidden="false" customHeight="false" outlineLevel="0" collapsed="false">
      <c r="A39" s="6" t="s">
        <v>497</v>
      </c>
      <c r="B39" s="6" t="s">
        <v>555</v>
      </c>
      <c r="C39" s="6" t="s">
        <v>556</v>
      </c>
      <c r="D39" s="7" t="s">
        <v>557</v>
      </c>
      <c r="E39" s="6" t="n">
        <f aca="false">2+3</f>
        <v>5</v>
      </c>
      <c r="F39" s="6"/>
      <c r="G39" s="6" t="s">
        <v>52</v>
      </c>
      <c r="H39" s="8" t="n">
        <f aca="false">VLOOKUP(G39,Klausurtage!$A$2:$B$15,2,FALSE())</f>
        <v>46045</v>
      </c>
      <c r="I39" s="44" t="s">
        <v>28</v>
      </c>
      <c r="J39" s="44" t="s">
        <v>94</v>
      </c>
      <c r="K39" s="9" t="s">
        <v>558</v>
      </c>
    </row>
    <row r="40" customFormat="false" ht="26.85" hidden="false" customHeight="false" outlineLevel="0" collapsed="false">
      <c r="A40" s="6" t="s">
        <v>497</v>
      </c>
      <c r="B40" s="6" t="s">
        <v>559</v>
      </c>
      <c r="C40" s="6" t="s">
        <v>556</v>
      </c>
      <c r="D40" s="7"/>
      <c r="E40" s="6" t="n">
        <f aca="false">0</f>
        <v>0</v>
      </c>
      <c r="F40" s="6"/>
      <c r="G40" s="6" t="s">
        <v>52</v>
      </c>
      <c r="H40" s="8" t="n">
        <f aca="false">VLOOKUP(G40,Klausurtage!$A$2:$B$15,2,FALSE())</f>
        <v>46045</v>
      </c>
      <c r="I40" s="44" t="s">
        <v>28</v>
      </c>
      <c r="J40" s="44"/>
      <c r="K40" s="9" t="s">
        <v>558</v>
      </c>
    </row>
    <row r="41" customFormat="false" ht="13.8" hidden="false" customHeight="false" outlineLevel="0" collapsed="false">
      <c r="A41" s="6" t="s">
        <v>497</v>
      </c>
      <c r="B41" s="6" t="s">
        <v>560</v>
      </c>
      <c r="C41" s="6" t="s">
        <v>561</v>
      </c>
      <c r="D41" s="7" t="n">
        <v>1404</v>
      </c>
      <c r="E41" s="6"/>
      <c r="F41" s="6"/>
      <c r="G41" s="6" t="s">
        <v>79</v>
      </c>
      <c r="H41" s="8" t="s">
        <v>562</v>
      </c>
      <c r="I41" s="44" t="s">
        <v>270</v>
      </c>
      <c r="J41" s="44"/>
      <c r="K41" s="9" t="s">
        <v>563</v>
      </c>
    </row>
    <row r="42" customFormat="false" ht="13.8" hidden="false" customHeight="false" outlineLevel="0" collapsed="false">
      <c r="A42" s="6" t="s">
        <v>497</v>
      </c>
      <c r="B42" s="6" t="s">
        <v>564</v>
      </c>
      <c r="C42" s="6" t="s">
        <v>561</v>
      </c>
      <c r="D42" s="7"/>
      <c r="E42" s="6"/>
      <c r="F42" s="6"/>
      <c r="G42" s="6" t="s">
        <v>79</v>
      </c>
      <c r="H42" s="8" t="s">
        <v>562</v>
      </c>
      <c r="I42" s="44" t="s">
        <v>270</v>
      </c>
      <c r="J42" s="44"/>
      <c r="K42" s="6" t="s">
        <v>478</v>
      </c>
    </row>
    <row r="43" customFormat="false" ht="13.8" hidden="false" customHeight="false" outlineLevel="0" collapsed="false">
      <c r="A43" s="22" t="s">
        <v>497</v>
      </c>
      <c r="B43" s="22" t="s">
        <v>565</v>
      </c>
      <c r="C43" s="22" t="s">
        <v>566</v>
      </c>
      <c r="D43" s="23" t="n">
        <v>1407</v>
      </c>
      <c r="E43" s="22"/>
      <c r="F43" s="22"/>
      <c r="G43" s="22" t="s">
        <v>79</v>
      </c>
      <c r="H43" s="24" t="s">
        <v>270</v>
      </c>
      <c r="I43" s="45" t="s">
        <v>270</v>
      </c>
      <c r="J43" s="45"/>
      <c r="K43" s="22" t="s">
        <v>510</v>
      </c>
    </row>
    <row r="44" customFormat="false" ht="13.8" hidden="false" customHeight="false" outlineLevel="0" collapsed="false">
      <c r="A44" s="25" t="s">
        <v>11</v>
      </c>
      <c r="B44" s="25" t="s">
        <v>567</v>
      </c>
      <c r="C44" s="25" t="s">
        <v>568</v>
      </c>
      <c r="D44" s="26" t="n">
        <v>1301</v>
      </c>
      <c r="E44" s="25"/>
      <c r="F44" s="25"/>
      <c r="G44" s="25" t="s">
        <v>79</v>
      </c>
      <c r="H44" s="27" t="s">
        <v>270</v>
      </c>
      <c r="I44" s="46" t="s">
        <v>270</v>
      </c>
      <c r="J44" s="46"/>
      <c r="K44" s="25" t="s">
        <v>563</v>
      </c>
    </row>
    <row r="45" customFormat="false" ht="13.8" hidden="false" customHeight="false" outlineLevel="0" collapsed="false">
      <c r="A45" s="6" t="s">
        <v>11</v>
      </c>
      <c r="B45" s="6" t="s">
        <v>569</v>
      </c>
      <c r="C45" s="6" t="s">
        <v>570</v>
      </c>
      <c r="D45" s="7" t="n">
        <v>1580</v>
      </c>
      <c r="E45" s="6"/>
      <c r="F45" s="28" t="s">
        <v>571</v>
      </c>
      <c r="G45" s="6" t="s">
        <v>79</v>
      </c>
      <c r="H45" s="8" t="s">
        <v>270</v>
      </c>
      <c r="I45" s="44" t="s">
        <v>270</v>
      </c>
      <c r="J45" s="44"/>
      <c r="K45" s="6" t="s">
        <v>70</v>
      </c>
    </row>
    <row r="46" customFormat="false" ht="13.8" hidden="false" customHeight="false" outlineLevel="0" collapsed="false">
      <c r="A46" s="6" t="s">
        <v>497</v>
      </c>
      <c r="B46" s="6" t="s">
        <v>572</v>
      </c>
      <c r="C46" s="6" t="s">
        <v>573</v>
      </c>
      <c r="D46" s="7" t="n">
        <v>2680</v>
      </c>
      <c r="E46" s="6"/>
      <c r="F46" s="28" t="s">
        <v>571</v>
      </c>
      <c r="G46" s="6" t="s">
        <v>79</v>
      </c>
      <c r="H46" s="8" t="s">
        <v>270</v>
      </c>
      <c r="I46" s="44" t="s">
        <v>270</v>
      </c>
      <c r="J46" s="44"/>
      <c r="K46" s="6" t="s">
        <v>70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37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0.56"/>
    <col collapsed="false" customWidth="true" hidden="false" outlineLevel="0" max="3" min="3" style="1" width="52.33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.89"/>
    <col collapsed="false" customWidth="true" hidden="false" outlineLevel="0" max="7" min="7" style="1" width="15.67"/>
    <col collapsed="false" customWidth="true" hidden="false" outlineLevel="0" max="8" min="8" style="2" width="19.33"/>
    <col collapsed="false" customWidth="true" hidden="false" outlineLevel="0" max="9" min="9" style="2" width="14.56"/>
    <col collapsed="false" customWidth="true" hidden="false" outlineLevel="0" max="10" min="10" style="2" width="13.66"/>
    <col collapsed="false" customWidth="true" hidden="false" outlineLevel="0" max="11" min="11" style="1" width="61.66"/>
    <col collapsed="false" customWidth="false" hidden="false" outlineLevel="0" max="16384" min="12" style="1" width="11.45"/>
  </cols>
  <sheetData>
    <row r="1" customFormat="false" ht="67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574</v>
      </c>
      <c r="C2" s="6" t="s">
        <v>575</v>
      </c>
      <c r="D2" s="6"/>
      <c r="E2" s="6" t="n">
        <f aca="false">35</f>
        <v>35</v>
      </c>
      <c r="F2" s="6"/>
      <c r="G2" s="6" t="s">
        <v>113</v>
      </c>
      <c r="H2" s="8" t="n">
        <f aca="false">VLOOKUP(G2,Klausurtage!$A$2:$B$15,2,FALSE())</f>
        <v>46049</v>
      </c>
      <c r="I2" s="8" t="s">
        <v>576</v>
      </c>
      <c r="J2" s="8" t="s">
        <v>61</v>
      </c>
      <c r="K2" s="6" t="s">
        <v>577</v>
      </c>
    </row>
    <row r="3" customFormat="false" ht="13.8" hidden="false" customHeight="false" outlineLevel="0" collapsed="false">
      <c r="A3" s="6" t="s">
        <v>11</v>
      </c>
      <c r="B3" s="6" t="s">
        <v>578</v>
      </c>
      <c r="C3" s="6" t="s">
        <v>579</v>
      </c>
      <c r="D3" s="6"/>
      <c r="E3" s="6" t="n">
        <f aca="false">0</f>
        <v>0</v>
      </c>
      <c r="F3" s="6"/>
      <c r="G3" s="6" t="s">
        <v>113</v>
      </c>
      <c r="H3" s="8" t="n">
        <f aca="false">VLOOKUP(G3,Klausurtage!$A$2:$B$15,2,FALSE())</f>
        <v>46049</v>
      </c>
      <c r="I3" s="8" t="s">
        <v>481</v>
      </c>
      <c r="J3" s="8"/>
      <c r="K3" s="6" t="s">
        <v>70</v>
      </c>
    </row>
    <row r="4" customFormat="false" ht="13.8" hidden="false" customHeight="false" outlineLevel="0" collapsed="false">
      <c r="A4" s="6" t="s">
        <v>11</v>
      </c>
      <c r="B4" s="6" t="s">
        <v>580</v>
      </c>
      <c r="C4" s="6" t="s">
        <v>581</v>
      </c>
      <c r="D4" s="6"/>
      <c r="E4" s="6" t="n">
        <f aca="false">37</f>
        <v>37</v>
      </c>
      <c r="F4" s="6"/>
      <c r="G4" s="6" t="s">
        <v>15</v>
      </c>
      <c r="H4" s="8" t="n">
        <f aca="false">VLOOKUP(G4,Klausurtage!$A$2:$B$15,2,FALSE())</f>
        <v>46041</v>
      </c>
      <c r="I4" s="8" t="s">
        <v>481</v>
      </c>
      <c r="J4" s="8" t="s">
        <v>57</v>
      </c>
      <c r="K4" s="6" t="s">
        <v>582</v>
      </c>
    </row>
    <row r="5" customFormat="false" ht="13.8" hidden="false" customHeight="false" outlineLevel="0" collapsed="false">
      <c r="A5" s="6" t="s">
        <v>11</v>
      </c>
      <c r="B5" s="6" t="s">
        <v>583</v>
      </c>
      <c r="C5" s="6" t="s">
        <v>584</v>
      </c>
      <c r="D5" s="6"/>
      <c r="E5" s="6" t="n">
        <f aca="false">42</f>
        <v>42</v>
      </c>
      <c r="F5" s="6"/>
      <c r="G5" s="6" t="s">
        <v>88</v>
      </c>
      <c r="H5" s="8" t="n">
        <f aca="false">VLOOKUP(G5,Klausurtage!$A$2:$B$15,2,FALSE())</f>
        <v>46051</v>
      </c>
      <c r="I5" s="8" t="s">
        <v>585</v>
      </c>
      <c r="J5" s="8" t="s">
        <v>400</v>
      </c>
      <c r="K5" s="6" t="s">
        <v>586</v>
      </c>
    </row>
    <row r="6" customFormat="false" ht="13.8" hidden="false" customHeight="false" outlineLevel="0" collapsed="false">
      <c r="A6" s="6" t="s">
        <v>11</v>
      </c>
      <c r="B6" s="6" t="s">
        <v>587</v>
      </c>
      <c r="C6" s="6" t="s">
        <v>588</v>
      </c>
      <c r="D6" s="6"/>
      <c r="E6" s="6" t="n">
        <f aca="false">24+10</f>
        <v>34</v>
      </c>
      <c r="F6" s="6"/>
      <c r="G6" s="6" t="s">
        <v>52</v>
      </c>
      <c r="H6" s="8" t="n">
        <f aca="false">VLOOKUP(G6,Klausurtage!$A$2:$B$15,2,FALSE())</f>
        <v>46045</v>
      </c>
      <c r="I6" s="8" t="s">
        <v>158</v>
      </c>
      <c r="J6" s="8" t="s">
        <v>89</v>
      </c>
      <c r="K6" s="6" t="s">
        <v>213</v>
      </c>
    </row>
    <row r="7" customFormat="false" ht="13.8" hidden="false" customHeight="false" outlineLevel="0" collapsed="false">
      <c r="A7" s="22" t="s">
        <v>11</v>
      </c>
      <c r="B7" s="22" t="s">
        <v>589</v>
      </c>
      <c r="C7" s="22" t="s">
        <v>78</v>
      </c>
      <c r="D7" s="22"/>
      <c r="E7" s="22"/>
      <c r="F7" s="22"/>
      <c r="G7" s="22" t="s">
        <v>79</v>
      </c>
      <c r="H7" s="24" t="s">
        <v>270</v>
      </c>
      <c r="I7" s="45" t="s">
        <v>270</v>
      </c>
      <c r="J7" s="45"/>
      <c r="K7" s="22" t="s">
        <v>590</v>
      </c>
    </row>
    <row r="8" customFormat="false" ht="13.8" hidden="false" customHeight="false" outlineLevel="0" collapsed="false">
      <c r="A8" s="25" t="s">
        <v>497</v>
      </c>
      <c r="B8" s="25" t="s">
        <v>591</v>
      </c>
      <c r="C8" s="25" t="s">
        <v>592</v>
      </c>
      <c r="D8" s="25"/>
      <c r="E8" s="25" t="n">
        <f aca="false">0</f>
        <v>0</v>
      </c>
      <c r="F8" s="25"/>
      <c r="G8" s="25" t="s">
        <v>125</v>
      </c>
      <c r="H8" s="27" t="n">
        <f aca="false">VLOOKUP(G8,Klausurtage!$A$2:$B$15,2,FALSE())</f>
        <v>46042</v>
      </c>
      <c r="I8" s="46" t="s">
        <v>28</v>
      </c>
      <c r="J8" s="46"/>
      <c r="K8" s="35" t="s">
        <v>593</v>
      </c>
    </row>
    <row r="9" customFormat="false" ht="13.8" hidden="false" customHeight="false" outlineLevel="0" collapsed="false">
      <c r="A9" s="6" t="s">
        <v>497</v>
      </c>
      <c r="B9" s="6" t="s">
        <v>594</v>
      </c>
      <c r="C9" s="6" t="s">
        <v>595</v>
      </c>
      <c r="D9" s="6"/>
      <c r="E9" s="6" t="n">
        <f aca="false">0</f>
        <v>0</v>
      </c>
      <c r="F9" s="6"/>
      <c r="G9" s="6" t="s">
        <v>79</v>
      </c>
      <c r="H9" s="8" t="s">
        <v>270</v>
      </c>
      <c r="I9" s="44" t="s">
        <v>270</v>
      </c>
      <c r="J9" s="44"/>
      <c r="K9" s="9" t="s">
        <v>596</v>
      </c>
    </row>
    <row r="10" customFormat="false" ht="13.8" hidden="false" customHeight="false" outlineLevel="0" collapsed="false">
      <c r="A10" s="6" t="s">
        <v>497</v>
      </c>
      <c r="B10" s="6" t="s">
        <v>597</v>
      </c>
      <c r="C10" s="6" t="s">
        <v>598</v>
      </c>
      <c r="D10" s="6"/>
      <c r="E10" s="6" t="n">
        <f aca="false">9</f>
        <v>9</v>
      </c>
      <c r="F10" s="6"/>
      <c r="G10" s="6" t="s">
        <v>52</v>
      </c>
      <c r="H10" s="8" t="n">
        <f aca="false">VLOOKUP(G10,Klausurtage!$A$2:$B$15,2,FALSE())</f>
        <v>46045</v>
      </c>
      <c r="I10" s="44" t="s">
        <v>16</v>
      </c>
      <c r="J10" s="44" t="s">
        <v>94</v>
      </c>
      <c r="K10" s="9" t="s">
        <v>599</v>
      </c>
    </row>
    <row r="11" customFormat="false" ht="13.8" hidden="false" customHeight="false" outlineLevel="0" collapsed="false">
      <c r="A11" s="6" t="s">
        <v>497</v>
      </c>
      <c r="B11" s="6" t="s">
        <v>600</v>
      </c>
      <c r="C11" s="6" t="s">
        <v>86</v>
      </c>
      <c r="D11" s="6"/>
      <c r="E11" s="6" t="n">
        <f aca="false">15</f>
        <v>15</v>
      </c>
      <c r="F11" s="6"/>
      <c r="G11" s="6" t="s">
        <v>65</v>
      </c>
      <c r="H11" s="8" t="n">
        <f aca="false">VLOOKUP(G11,Klausurtage!$A$2:$B$15,2,FALSE())</f>
        <v>46050</v>
      </c>
      <c r="I11" s="44" t="s">
        <v>601</v>
      </c>
      <c r="J11" s="44" t="s">
        <v>92</v>
      </c>
      <c r="K11" s="9" t="s">
        <v>186</v>
      </c>
    </row>
    <row r="12" customFormat="false" ht="13.8" hidden="false" customHeight="false" outlineLevel="0" collapsed="false">
      <c r="A12" s="6" t="s">
        <v>497</v>
      </c>
      <c r="B12" s="6" t="s">
        <v>602</v>
      </c>
      <c r="C12" s="6" t="s">
        <v>495</v>
      </c>
      <c r="D12" s="6"/>
      <c r="E12" s="6" t="n">
        <f aca="false">5</f>
        <v>5</v>
      </c>
      <c r="F12" s="6"/>
      <c r="G12" s="6" t="s">
        <v>103</v>
      </c>
      <c r="H12" s="8" t="n">
        <f aca="false">VLOOKUP(G12,Klausurtage!$A$2:$B$15,2,FALSE())</f>
        <v>46044</v>
      </c>
      <c r="I12" s="44" t="s">
        <v>481</v>
      </c>
      <c r="J12" s="44" t="s">
        <v>94</v>
      </c>
      <c r="K12" s="9" t="s">
        <v>67</v>
      </c>
    </row>
    <row r="13" customFormat="false" ht="13.8" hidden="false" customHeight="false" outlineLevel="0" collapsed="false">
      <c r="A13" s="6" t="s">
        <v>497</v>
      </c>
      <c r="B13" s="6" t="s">
        <v>603</v>
      </c>
      <c r="C13" s="6" t="s">
        <v>604</v>
      </c>
      <c r="D13" s="6"/>
      <c r="E13" s="6"/>
      <c r="F13" s="6"/>
      <c r="G13" s="6" t="s">
        <v>79</v>
      </c>
      <c r="H13" s="8" t="s">
        <v>270</v>
      </c>
      <c r="I13" s="44" t="s">
        <v>270</v>
      </c>
      <c r="J13" s="44"/>
      <c r="K13" s="9" t="s">
        <v>605</v>
      </c>
    </row>
    <row r="14" customFormat="false" ht="13.8" hidden="false" customHeight="false" outlineLevel="0" collapsed="false">
      <c r="A14" s="22" t="s">
        <v>497</v>
      </c>
      <c r="B14" s="22" t="s">
        <v>606</v>
      </c>
      <c r="C14" s="22" t="s">
        <v>604</v>
      </c>
      <c r="D14" s="22"/>
      <c r="E14" s="22"/>
      <c r="F14" s="22"/>
      <c r="G14" s="22" t="s">
        <v>79</v>
      </c>
      <c r="H14" s="24" t="s">
        <v>270</v>
      </c>
      <c r="I14" s="45" t="s">
        <v>270</v>
      </c>
      <c r="J14" s="45"/>
      <c r="K14" s="34" t="s">
        <v>605</v>
      </c>
    </row>
    <row r="15" customFormat="false" ht="13.8" hidden="false" customHeight="false" outlineLevel="0" collapsed="false">
      <c r="A15" s="25" t="s">
        <v>11</v>
      </c>
      <c r="B15" s="25" t="s">
        <v>607</v>
      </c>
      <c r="C15" s="47" t="s">
        <v>608</v>
      </c>
      <c r="D15" s="25"/>
      <c r="E15" s="25" t="n">
        <f aca="false">26</f>
        <v>26</v>
      </c>
      <c r="F15" s="25"/>
      <c r="G15" s="25" t="s">
        <v>324</v>
      </c>
      <c r="H15" s="27" t="n">
        <f aca="false">VLOOKUP(G15,Klausurtage!$A$2:$B$15,2,FALSE())</f>
        <v>46052</v>
      </c>
      <c r="I15" s="48" t="s">
        <v>609</v>
      </c>
      <c r="J15" s="46" t="s">
        <v>61</v>
      </c>
      <c r="K15" s="35" t="s">
        <v>610</v>
      </c>
    </row>
    <row r="16" customFormat="false" ht="13.8" hidden="false" customHeight="false" outlineLevel="0" collapsed="false">
      <c r="A16" s="6" t="s">
        <v>11</v>
      </c>
      <c r="B16" s="6" t="s">
        <v>611</v>
      </c>
      <c r="C16" s="6" t="s">
        <v>608</v>
      </c>
      <c r="D16" s="6"/>
      <c r="E16" s="6" t="n">
        <f aca="false">1</f>
        <v>1</v>
      </c>
      <c r="F16" s="6"/>
      <c r="G16" s="6" t="s">
        <v>324</v>
      </c>
      <c r="H16" s="8" t="n">
        <f aca="false">VLOOKUP(G16,Klausurtage!$A$2:$B$15,2,FALSE())</f>
        <v>46052</v>
      </c>
      <c r="I16" s="44" t="s">
        <v>609</v>
      </c>
      <c r="J16" s="44" t="s">
        <v>61</v>
      </c>
      <c r="K16" s="9" t="s">
        <v>612</v>
      </c>
    </row>
    <row r="17" customFormat="false" ht="13.8" hidden="false" customHeight="false" outlineLevel="0" collapsed="false">
      <c r="A17" s="6" t="s">
        <v>11</v>
      </c>
      <c r="B17" s="6" t="s">
        <v>613</v>
      </c>
      <c r="C17" s="6" t="s">
        <v>614</v>
      </c>
      <c r="D17" s="6"/>
      <c r="E17" s="6"/>
      <c r="F17" s="6"/>
      <c r="G17" s="6" t="s">
        <v>79</v>
      </c>
      <c r="H17" s="8" t="s">
        <v>270</v>
      </c>
      <c r="I17" s="44" t="s">
        <v>270</v>
      </c>
      <c r="J17" s="44"/>
      <c r="K17" s="9" t="s">
        <v>615</v>
      </c>
    </row>
    <row r="18" customFormat="false" ht="26.85" hidden="false" customHeight="false" outlineLevel="0" collapsed="false">
      <c r="A18" s="6" t="s">
        <v>11</v>
      </c>
      <c r="B18" s="6" t="s">
        <v>616</v>
      </c>
      <c r="C18" s="6" t="s">
        <v>617</v>
      </c>
      <c r="D18" s="6"/>
      <c r="E18" s="6"/>
      <c r="F18" s="6"/>
      <c r="G18" s="6" t="s">
        <v>79</v>
      </c>
      <c r="H18" s="31" t="s">
        <v>618</v>
      </c>
      <c r="I18" s="44" t="s">
        <v>270</v>
      </c>
      <c r="J18" s="44"/>
      <c r="K18" s="9" t="s">
        <v>619</v>
      </c>
    </row>
    <row r="19" customFormat="false" ht="13.8" hidden="false" customHeight="false" outlineLevel="0" collapsed="false">
      <c r="A19" s="6" t="s">
        <v>11</v>
      </c>
      <c r="B19" s="6" t="s">
        <v>620</v>
      </c>
      <c r="C19" s="6" t="s">
        <v>621</v>
      </c>
      <c r="D19" s="6"/>
      <c r="E19" s="6" t="n">
        <f aca="false">33</f>
        <v>33</v>
      </c>
      <c r="F19" s="6"/>
      <c r="G19" s="6" t="s">
        <v>52</v>
      </c>
      <c r="H19" s="8" t="n">
        <f aca="false">VLOOKUP(G19,Klausurtage!$A$2:$B$15,2,FALSE())</f>
        <v>46045</v>
      </c>
      <c r="I19" s="8" t="s">
        <v>114</v>
      </c>
      <c r="J19" s="8" t="s">
        <v>61</v>
      </c>
      <c r="K19" s="9" t="s">
        <v>622</v>
      </c>
    </row>
    <row r="20" customFormat="false" ht="26.85" hidden="false" customHeight="false" outlineLevel="0" collapsed="false">
      <c r="A20" s="6" t="s">
        <v>11</v>
      </c>
      <c r="B20" s="6" t="s">
        <v>623</v>
      </c>
      <c r="C20" s="6" t="s">
        <v>184</v>
      </c>
      <c r="D20" s="6"/>
      <c r="E20" s="6"/>
      <c r="F20" s="6"/>
      <c r="G20" s="6" t="s">
        <v>79</v>
      </c>
      <c r="H20" s="8" t="s">
        <v>270</v>
      </c>
      <c r="I20" s="44" t="s">
        <v>270</v>
      </c>
      <c r="J20" s="44"/>
      <c r="K20" s="9" t="s">
        <v>624</v>
      </c>
    </row>
    <row r="21" customFormat="false" ht="13.8" hidden="false" customHeight="false" outlineLevel="0" collapsed="false">
      <c r="A21" s="6" t="s">
        <v>11</v>
      </c>
      <c r="B21" s="6" t="s">
        <v>625</v>
      </c>
      <c r="C21" s="6" t="s">
        <v>626</v>
      </c>
      <c r="D21" s="6"/>
      <c r="E21" s="6" t="n">
        <f aca="false">27</f>
        <v>27</v>
      </c>
      <c r="F21" s="6"/>
      <c r="G21" s="6" t="s">
        <v>88</v>
      </c>
      <c r="H21" s="8" t="n">
        <f aca="false">VLOOKUP(G21,Klausurtage!$A$2:$B$15,2,FALSE())</f>
        <v>46051</v>
      </c>
      <c r="I21" s="8" t="s">
        <v>481</v>
      </c>
      <c r="J21" s="8" t="s">
        <v>627</v>
      </c>
      <c r="K21" s="9" t="s">
        <v>628</v>
      </c>
    </row>
    <row r="22" customFormat="false" ht="13.8" hidden="false" customHeight="false" outlineLevel="0" collapsed="false">
      <c r="A22" s="22" t="s">
        <v>11</v>
      </c>
      <c r="B22" s="22" t="s">
        <v>629</v>
      </c>
      <c r="C22" s="22" t="s">
        <v>626</v>
      </c>
      <c r="D22" s="22"/>
      <c r="E22" s="22" t="n">
        <f aca="false">5</f>
        <v>5</v>
      </c>
      <c r="F22" s="22"/>
      <c r="G22" s="22" t="s">
        <v>88</v>
      </c>
      <c r="H22" s="24" t="n">
        <f aca="false">VLOOKUP(G22,Klausurtage!$A$2:$B$15,2,FALSE())</f>
        <v>46051</v>
      </c>
      <c r="I22" s="24" t="s">
        <v>481</v>
      </c>
      <c r="J22" s="24" t="s">
        <v>293</v>
      </c>
      <c r="K22" s="34" t="s">
        <v>106</v>
      </c>
    </row>
    <row r="23" customFormat="false" ht="13.8" hidden="false" customHeight="false" outlineLevel="0" collapsed="false">
      <c r="A23" s="25" t="s">
        <v>497</v>
      </c>
      <c r="B23" s="25" t="s">
        <v>630</v>
      </c>
      <c r="C23" s="25" t="s">
        <v>631</v>
      </c>
      <c r="D23" s="25"/>
      <c r="E23" s="25" t="n">
        <f aca="false">0</f>
        <v>0</v>
      </c>
      <c r="F23" s="25"/>
      <c r="G23" s="25" t="s">
        <v>15</v>
      </c>
      <c r="H23" s="27" t="n">
        <f aca="false">VLOOKUP(G23,Klausurtage!$A$2:$B$15,2,FALSE())</f>
        <v>46041</v>
      </c>
      <c r="I23" s="27" t="s">
        <v>585</v>
      </c>
      <c r="J23" s="27"/>
      <c r="K23" s="35" t="s">
        <v>632</v>
      </c>
    </row>
    <row r="24" customFormat="false" ht="13.8" hidden="false" customHeight="false" outlineLevel="0" collapsed="false">
      <c r="A24" s="6" t="s">
        <v>497</v>
      </c>
      <c r="B24" s="6" t="s">
        <v>633</v>
      </c>
      <c r="C24" s="6" t="s">
        <v>634</v>
      </c>
      <c r="D24" s="6"/>
      <c r="E24" s="6" t="n">
        <f aca="false">3</f>
        <v>3</v>
      </c>
      <c r="F24" s="6"/>
      <c r="G24" s="6" t="s">
        <v>125</v>
      </c>
      <c r="H24" s="8" t="n">
        <f aca="false">VLOOKUP(G24,Klausurtage!$A$2:$B$15,2,FALSE())</f>
        <v>46042</v>
      </c>
      <c r="I24" s="8" t="s">
        <v>481</v>
      </c>
      <c r="J24" s="8" t="s">
        <v>94</v>
      </c>
      <c r="K24" s="9" t="s">
        <v>635</v>
      </c>
    </row>
    <row r="25" customFormat="false" ht="13.8" hidden="false" customHeight="false" outlineLevel="0" collapsed="false">
      <c r="A25" s="6" t="s">
        <v>497</v>
      </c>
      <c r="B25" s="6" t="s">
        <v>636</v>
      </c>
      <c r="C25" s="6" t="s">
        <v>637</v>
      </c>
      <c r="D25" s="6"/>
      <c r="E25" s="6" t="n">
        <f aca="false">1</f>
        <v>1</v>
      </c>
      <c r="F25" s="6"/>
      <c r="G25" s="6" t="s">
        <v>324</v>
      </c>
      <c r="H25" s="8" t="n">
        <f aca="false">VLOOKUP(G25,Klausurtage!$A$2:$B$15,2,FALSE())</f>
        <v>46052</v>
      </c>
      <c r="I25" s="8" t="s">
        <v>114</v>
      </c>
      <c r="J25" s="8" t="s">
        <v>519</v>
      </c>
      <c r="K25" s="9" t="s">
        <v>106</v>
      </c>
    </row>
    <row r="26" customFormat="false" ht="13.8" hidden="false" customHeight="false" outlineLevel="0" collapsed="false">
      <c r="A26" s="6" t="s">
        <v>497</v>
      </c>
      <c r="B26" s="6" t="s">
        <v>638</v>
      </c>
      <c r="C26" s="6" t="s">
        <v>637</v>
      </c>
      <c r="D26" s="6"/>
      <c r="E26" s="6" t="n">
        <f aca="false">6</f>
        <v>6</v>
      </c>
      <c r="F26" s="6"/>
      <c r="G26" s="6" t="s">
        <v>324</v>
      </c>
      <c r="H26" s="8" t="n">
        <f aca="false">VLOOKUP(G26,Klausurtage!$A$2:$B$15,2,FALSE())</f>
        <v>46052</v>
      </c>
      <c r="I26" s="8" t="s">
        <v>114</v>
      </c>
      <c r="J26" s="8" t="s">
        <v>519</v>
      </c>
      <c r="K26" s="9" t="s">
        <v>628</v>
      </c>
    </row>
    <row r="27" customFormat="false" ht="13.8" hidden="false" customHeight="false" outlineLevel="0" collapsed="false">
      <c r="A27" s="22" t="s">
        <v>497</v>
      </c>
      <c r="B27" s="22" t="s">
        <v>639</v>
      </c>
      <c r="C27" s="22" t="s">
        <v>640</v>
      </c>
      <c r="D27" s="22"/>
      <c r="E27" s="22" t="n">
        <f aca="false">0</f>
        <v>0</v>
      </c>
      <c r="F27" s="22"/>
      <c r="G27" s="22" t="s">
        <v>79</v>
      </c>
      <c r="H27" s="24" t="s">
        <v>270</v>
      </c>
      <c r="I27" s="45" t="s">
        <v>270</v>
      </c>
      <c r="J27" s="45"/>
      <c r="K27" s="34" t="s">
        <v>218</v>
      </c>
    </row>
    <row r="28" customFormat="false" ht="26.85" hidden="false" customHeight="false" outlineLevel="0" collapsed="false">
      <c r="A28" s="25" t="s">
        <v>11</v>
      </c>
      <c r="B28" s="25" t="s">
        <v>641</v>
      </c>
      <c r="C28" s="25" t="s">
        <v>642</v>
      </c>
      <c r="D28" s="25"/>
      <c r="E28" s="25"/>
      <c r="F28" s="25"/>
      <c r="G28" s="25" t="s">
        <v>79</v>
      </c>
      <c r="H28" s="27" t="s">
        <v>270</v>
      </c>
      <c r="I28" s="46" t="s">
        <v>270</v>
      </c>
      <c r="J28" s="46"/>
      <c r="K28" s="35" t="s">
        <v>643</v>
      </c>
    </row>
    <row r="29" customFormat="false" ht="13.8" hidden="false" customHeight="false" outlineLevel="0" collapsed="false">
      <c r="A29" s="6" t="s">
        <v>11</v>
      </c>
      <c r="B29" s="6" t="s">
        <v>644</v>
      </c>
      <c r="C29" s="6" t="s">
        <v>645</v>
      </c>
      <c r="D29" s="6"/>
      <c r="E29" s="6" t="n">
        <f aca="false">38</f>
        <v>38</v>
      </c>
      <c r="F29" s="6"/>
      <c r="G29" s="6" t="s">
        <v>52</v>
      </c>
      <c r="H29" s="8" t="n">
        <f aca="false">VLOOKUP(G29,Klausurtage!$A$2:$B$15,2,FALSE())</f>
        <v>46045</v>
      </c>
      <c r="I29" s="8" t="s">
        <v>158</v>
      </c>
      <c r="J29" s="8" t="s">
        <v>61</v>
      </c>
      <c r="K29" s="9" t="s">
        <v>635</v>
      </c>
    </row>
    <row r="30" customFormat="false" ht="26.85" hidden="false" customHeight="false" outlineLevel="0" collapsed="false">
      <c r="A30" s="6" t="s">
        <v>11</v>
      </c>
      <c r="B30" s="6" t="s">
        <v>646</v>
      </c>
      <c r="C30" s="6" t="s">
        <v>647</v>
      </c>
      <c r="D30" s="6"/>
      <c r="E30" s="6"/>
      <c r="F30" s="6"/>
      <c r="G30" s="6" t="s">
        <v>79</v>
      </c>
      <c r="H30" s="8" t="s">
        <v>270</v>
      </c>
      <c r="I30" s="44" t="s">
        <v>270</v>
      </c>
      <c r="J30" s="44"/>
      <c r="K30" s="9" t="s">
        <v>648</v>
      </c>
    </row>
    <row r="31" customFormat="false" ht="13.8" hidden="false" customHeight="false" outlineLevel="0" collapsed="false">
      <c r="A31" s="6" t="s">
        <v>11</v>
      </c>
      <c r="B31" s="6" t="s">
        <v>649</v>
      </c>
      <c r="C31" s="6" t="s">
        <v>650</v>
      </c>
      <c r="D31" s="6"/>
      <c r="E31" s="6"/>
      <c r="F31" s="6"/>
      <c r="G31" s="6" t="s">
        <v>79</v>
      </c>
      <c r="H31" s="8" t="s">
        <v>270</v>
      </c>
      <c r="I31" s="44" t="s">
        <v>270</v>
      </c>
      <c r="J31" s="44"/>
      <c r="K31" s="9" t="s">
        <v>651</v>
      </c>
    </row>
    <row r="32" customFormat="false" ht="26.85" hidden="false" customHeight="false" outlineLevel="0" collapsed="false">
      <c r="A32" s="6" t="s">
        <v>11</v>
      </c>
      <c r="B32" s="6" t="s">
        <v>652</v>
      </c>
      <c r="C32" s="6" t="s">
        <v>653</v>
      </c>
      <c r="D32" s="6"/>
      <c r="E32" s="6"/>
      <c r="F32" s="6"/>
      <c r="G32" s="6" t="s">
        <v>79</v>
      </c>
      <c r="H32" s="8" t="s">
        <v>270</v>
      </c>
      <c r="I32" s="44" t="s">
        <v>270</v>
      </c>
      <c r="J32" s="44"/>
      <c r="K32" s="9" t="s">
        <v>654</v>
      </c>
    </row>
    <row r="33" customFormat="false" ht="13.8" hidden="false" customHeight="false" outlineLevel="0" collapsed="false">
      <c r="A33" s="22" t="s">
        <v>11</v>
      </c>
      <c r="B33" s="22" t="s">
        <v>655</v>
      </c>
      <c r="C33" s="22" t="s">
        <v>653</v>
      </c>
      <c r="D33" s="22"/>
      <c r="E33" s="22"/>
      <c r="F33" s="22"/>
      <c r="G33" s="22" t="s">
        <v>79</v>
      </c>
      <c r="H33" s="24" t="s">
        <v>270</v>
      </c>
      <c r="I33" s="45" t="s">
        <v>270</v>
      </c>
      <c r="J33" s="45"/>
      <c r="K33" s="34" t="s">
        <v>656</v>
      </c>
    </row>
    <row r="34" customFormat="false" ht="26.85" hidden="false" customHeight="false" outlineLevel="0" collapsed="false">
      <c r="A34" s="25" t="s">
        <v>497</v>
      </c>
      <c r="B34" s="25" t="s">
        <v>657</v>
      </c>
      <c r="C34" s="25" t="s">
        <v>658</v>
      </c>
      <c r="D34" s="25"/>
      <c r="E34" s="25" t="n">
        <f aca="false">0</f>
        <v>0</v>
      </c>
      <c r="F34" s="25"/>
      <c r="G34" s="25" t="s">
        <v>125</v>
      </c>
      <c r="H34" s="27" t="n">
        <f aca="false">VLOOKUP(G34,Klausurtage!$A$2:$B$15,2,FALSE())</f>
        <v>46042</v>
      </c>
      <c r="I34" s="27" t="s">
        <v>158</v>
      </c>
      <c r="J34" s="27"/>
      <c r="K34" s="35" t="s">
        <v>659</v>
      </c>
    </row>
    <row r="35" customFormat="false" ht="13.8" hidden="false" customHeight="false" outlineLevel="0" collapsed="false">
      <c r="A35" s="6" t="s">
        <v>497</v>
      </c>
      <c r="B35" s="6" t="s">
        <v>660</v>
      </c>
      <c r="C35" s="6" t="s">
        <v>534</v>
      </c>
      <c r="D35" s="6"/>
      <c r="E35" s="6" t="n">
        <f aca="false">2</f>
        <v>2</v>
      </c>
      <c r="F35" s="6"/>
      <c r="G35" s="6" t="s">
        <v>88</v>
      </c>
      <c r="H35" s="8" t="n">
        <f aca="false">VLOOKUP(G35,Klausurtage!$A$2:$B$15,2,FALSE())</f>
        <v>46051</v>
      </c>
      <c r="I35" s="8" t="s">
        <v>661</v>
      </c>
      <c r="J35" s="8" t="s">
        <v>94</v>
      </c>
      <c r="K35" s="9" t="s">
        <v>662</v>
      </c>
    </row>
    <row r="36" customFormat="false" ht="26.85" hidden="false" customHeight="false" outlineLevel="0" collapsed="false">
      <c r="A36" s="6" t="s">
        <v>497</v>
      </c>
      <c r="B36" s="6" t="s">
        <v>663</v>
      </c>
      <c r="C36" s="6" t="s">
        <v>664</v>
      </c>
      <c r="D36" s="6"/>
      <c r="E36" s="6"/>
      <c r="F36" s="6"/>
      <c r="G36" s="6" t="s">
        <v>79</v>
      </c>
      <c r="H36" s="8" t="s">
        <v>270</v>
      </c>
      <c r="I36" s="8" t="s">
        <v>270</v>
      </c>
      <c r="J36" s="8"/>
      <c r="K36" s="9" t="s">
        <v>665</v>
      </c>
    </row>
    <row r="37" customFormat="false" ht="13.8" hidden="false" customHeight="false" outlineLevel="0" collapsed="false">
      <c r="A37" s="6" t="s">
        <v>497</v>
      </c>
      <c r="B37" s="6" t="s">
        <v>666</v>
      </c>
      <c r="C37" s="6" t="s">
        <v>667</v>
      </c>
      <c r="D37" s="6"/>
      <c r="E37" s="6"/>
      <c r="F37" s="6"/>
      <c r="G37" s="6" t="s">
        <v>79</v>
      </c>
      <c r="H37" s="8" t="s">
        <v>270</v>
      </c>
      <c r="I37" s="8" t="s">
        <v>270</v>
      </c>
      <c r="J37" s="8"/>
      <c r="K37" s="9" t="s">
        <v>586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3.15"/>
    <col collapsed="false" customWidth="true" hidden="false" outlineLevel="0" max="3" min="3" style="1" width="45.11"/>
    <col collapsed="false" customWidth="true" hidden="false" outlineLevel="0" max="4" min="4" style="1" width="11.67"/>
    <col collapsed="false" customWidth="true" hidden="false" outlineLevel="0" max="5" min="5" style="1" width="13.44"/>
    <col collapsed="false" customWidth="true" hidden="false" outlineLevel="0" max="6" min="6" style="1" width="14.89"/>
    <col collapsed="false" customWidth="true" hidden="false" outlineLevel="0" max="7" min="7" style="1" width="14.11"/>
    <col collapsed="false" customWidth="true" hidden="false" outlineLevel="0" max="9" min="8" style="2" width="14.56"/>
    <col collapsed="false" customWidth="true" hidden="false" outlineLevel="0" max="10" min="10" style="2" width="14.44"/>
    <col collapsed="false" customWidth="true" hidden="false" outlineLevel="0" max="11" min="11" style="1" width="37.11"/>
    <col collapsed="false" customWidth="false" hidden="false" outlineLevel="0" max="16384" min="12" style="1" width="11.45"/>
  </cols>
  <sheetData>
    <row r="1" customFormat="false" ht="62.2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668</v>
      </c>
      <c r="C2" s="6" t="s">
        <v>13</v>
      </c>
      <c r="D2" s="6"/>
      <c r="E2" s="6" t="n">
        <v>23</v>
      </c>
      <c r="F2" s="6"/>
      <c r="G2" s="6" t="s">
        <v>15</v>
      </c>
      <c r="H2" s="8" t="n">
        <f aca="false">VLOOKUP(G2,Klausurtage!$A$2:$B$15,2,FALSE())</f>
        <v>46041</v>
      </c>
      <c r="I2" s="8" t="s">
        <v>16</v>
      </c>
      <c r="J2" s="8" t="s">
        <v>282</v>
      </c>
      <c r="K2" s="9" t="s">
        <v>669</v>
      </c>
    </row>
    <row r="3" customFormat="false" ht="14.15" hidden="false" customHeight="false" outlineLevel="0" collapsed="false">
      <c r="A3" s="6" t="s">
        <v>11</v>
      </c>
      <c r="B3" s="6" t="s">
        <v>670</v>
      </c>
      <c r="C3" s="6" t="s">
        <v>671</v>
      </c>
      <c r="D3" s="6"/>
      <c r="E3" s="6" t="n">
        <f aca="false">28</f>
        <v>28</v>
      </c>
      <c r="F3" s="6"/>
      <c r="G3" s="6" t="s">
        <v>40</v>
      </c>
      <c r="H3" s="8" t="n">
        <f aca="false">VLOOKUP(G3,Klausurtage!$A$2:$B$15,2,FALSE())</f>
        <v>46043</v>
      </c>
      <c r="I3" s="8" t="s">
        <v>16</v>
      </c>
      <c r="J3" s="8" t="s">
        <v>338</v>
      </c>
      <c r="K3" s="9" t="s">
        <v>153</v>
      </c>
    </row>
    <row r="4" customFormat="false" ht="14.15" hidden="false" customHeight="false" outlineLevel="0" collapsed="false">
      <c r="A4" s="6" t="s">
        <v>11</v>
      </c>
      <c r="B4" s="6" t="s">
        <v>672</v>
      </c>
      <c r="C4" s="6" t="s">
        <v>673</v>
      </c>
      <c r="D4" s="6"/>
      <c r="E4" s="6" t="n">
        <f aca="false">20</f>
        <v>20</v>
      </c>
      <c r="F4" s="6"/>
      <c r="G4" s="6" t="s">
        <v>65</v>
      </c>
      <c r="H4" s="8" t="n">
        <f aca="false">VLOOKUP(G4,Klausurtage!$A$2:$B$15,2,FALSE())</f>
        <v>46050</v>
      </c>
      <c r="I4" s="8" t="s">
        <v>28</v>
      </c>
      <c r="J4" s="8" t="s">
        <v>61</v>
      </c>
      <c r="K4" s="9" t="s">
        <v>674</v>
      </c>
    </row>
    <row r="5" customFormat="false" ht="26.85" hidden="false" customHeight="false" outlineLevel="0" collapsed="false">
      <c r="A5" s="6" t="s">
        <v>11</v>
      </c>
      <c r="B5" s="6" t="s">
        <v>675</v>
      </c>
      <c r="C5" s="6" t="s">
        <v>676</v>
      </c>
      <c r="D5" s="6"/>
      <c r="E5" s="6" t="n">
        <f aca="false">19</f>
        <v>19</v>
      </c>
      <c r="F5" s="6"/>
      <c r="G5" s="6" t="s">
        <v>27</v>
      </c>
      <c r="H5" s="8" t="n">
        <f aca="false">VLOOKUP(G5,Klausurtage!$A$2:$B$15,2,FALSE())</f>
        <v>46048</v>
      </c>
      <c r="I5" s="8" t="s">
        <v>28</v>
      </c>
      <c r="J5" s="8" t="s">
        <v>516</v>
      </c>
      <c r="K5" s="9" t="s">
        <v>186</v>
      </c>
    </row>
    <row r="6" customFormat="false" ht="39.55" hidden="false" customHeight="false" outlineLevel="0" collapsed="false">
      <c r="A6" s="6" t="s">
        <v>11</v>
      </c>
      <c r="B6" s="6" t="s">
        <v>677</v>
      </c>
      <c r="C6" s="6" t="s">
        <v>678</v>
      </c>
      <c r="D6" s="6"/>
      <c r="E6" s="6" t="n">
        <f aca="false">20</f>
        <v>20</v>
      </c>
      <c r="F6" s="6"/>
      <c r="G6" s="6" t="s">
        <v>79</v>
      </c>
      <c r="H6" s="8" t="s">
        <v>80</v>
      </c>
      <c r="I6" s="8" t="s">
        <v>80</v>
      </c>
      <c r="J6" s="8"/>
      <c r="K6" s="9" t="s">
        <v>679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7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2.89"/>
    <col collapsed="false" customWidth="true" hidden="false" outlineLevel="0" max="3" min="3" style="1" width="35.55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"/>
    <col collapsed="false" customWidth="true" hidden="false" outlineLevel="0" max="7" min="7" style="1" width="14.11"/>
    <col collapsed="false" customWidth="true" hidden="false" outlineLevel="0" max="8" min="8" style="2" width="14.44"/>
    <col collapsed="false" customWidth="true" hidden="false" outlineLevel="0" max="9" min="9" style="2" width="14.67"/>
    <col collapsed="false" customWidth="true" hidden="false" outlineLevel="0" max="10" min="10" style="2" width="14.34"/>
    <col collapsed="false" customWidth="true" hidden="false" outlineLevel="0" max="11" min="11" style="1" width="38.67"/>
    <col collapsed="false" customWidth="false" hidden="false" outlineLevel="0" max="16384" min="12" style="1" width="11.45"/>
  </cols>
  <sheetData>
    <row r="1" customFormat="false" ht="58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680</v>
      </c>
      <c r="C2" s="6" t="s">
        <v>681</v>
      </c>
      <c r="D2" s="6"/>
      <c r="E2" s="6" t="n">
        <f aca="false">26</f>
        <v>26</v>
      </c>
      <c r="F2" s="6"/>
      <c r="G2" s="6" t="s">
        <v>79</v>
      </c>
      <c r="H2" s="8" t="s">
        <v>80</v>
      </c>
      <c r="I2" s="8" t="s">
        <v>80</v>
      </c>
      <c r="J2" s="8"/>
      <c r="K2" s="9" t="s">
        <v>474</v>
      </c>
    </row>
    <row r="3" customFormat="false" ht="26.85" hidden="false" customHeight="false" outlineLevel="0" collapsed="false">
      <c r="A3" s="6" t="s">
        <v>11</v>
      </c>
      <c r="B3" s="6" t="s">
        <v>682</v>
      </c>
      <c r="C3" s="6" t="s">
        <v>476</v>
      </c>
      <c r="D3" s="6"/>
      <c r="E3" s="6" t="n">
        <f aca="false">27</f>
        <v>27</v>
      </c>
      <c r="F3" s="6"/>
      <c r="G3" s="6" t="s">
        <v>88</v>
      </c>
      <c r="H3" s="8" t="n">
        <f aca="false">VLOOKUP(G3,Klausurtage!$A$2:$B$15,2,FALSE())</f>
        <v>46051</v>
      </c>
      <c r="I3" s="8" t="s">
        <v>28</v>
      </c>
      <c r="J3" s="8" t="s">
        <v>166</v>
      </c>
      <c r="K3" s="9" t="s">
        <v>683</v>
      </c>
    </row>
    <row r="4" customFormat="false" ht="26.85" hidden="false" customHeight="false" outlineLevel="0" collapsed="false">
      <c r="A4" s="6" t="s">
        <v>11</v>
      </c>
      <c r="B4" s="6" t="s">
        <v>684</v>
      </c>
      <c r="C4" s="6" t="s">
        <v>685</v>
      </c>
      <c r="D4" s="6"/>
      <c r="E4" s="6" t="n">
        <f aca="false">27</f>
        <v>27</v>
      </c>
      <c r="F4" s="6"/>
      <c r="G4" s="6" t="s">
        <v>40</v>
      </c>
      <c r="H4" s="8" t="n">
        <f aca="false">VLOOKUP(G4,Klausurtage!$A$2:$B$15,2,FALSE())</f>
        <v>46043</v>
      </c>
      <c r="I4" s="8" t="s">
        <v>481</v>
      </c>
      <c r="J4" s="8" t="s">
        <v>282</v>
      </c>
      <c r="K4" s="9" t="s">
        <v>686</v>
      </c>
    </row>
    <row r="5" customFormat="false" ht="26.85" hidden="false" customHeight="false" outlineLevel="0" collapsed="false">
      <c r="A5" s="6" t="s">
        <v>11</v>
      </c>
      <c r="B5" s="6" t="s">
        <v>687</v>
      </c>
      <c r="C5" s="6" t="s">
        <v>25</v>
      </c>
      <c r="D5" s="6"/>
      <c r="E5" s="6" t="n">
        <f aca="false">27</f>
        <v>27</v>
      </c>
      <c r="F5" s="6"/>
      <c r="G5" s="6" t="s">
        <v>52</v>
      </c>
      <c r="H5" s="8" t="n">
        <f aca="false">VLOOKUP(G5,Klausurtage!$A$2:$B$15,2,FALSE())</f>
        <v>46045</v>
      </c>
      <c r="I5" s="8" t="s">
        <v>114</v>
      </c>
      <c r="J5" s="8" t="s">
        <v>282</v>
      </c>
      <c r="K5" s="9" t="s">
        <v>186</v>
      </c>
    </row>
    <row r="6" customFormat="false" ht="39.55" hidden="false" customHeight="false" outlineLevel="0" collapsed="false">
      <c r="A6" s="6" t="s">
        <v>11</v>
      </c>
      <c r="B6" s="6" t="s">
        <v>688</v>
      </c>
      <c r="C6" s="6" t="s">
        <v>78</v>
      </c>
      <c r="D6" s="6"/>
      <c r="E6" s="6" t="n">
        <f aca="false">25</f>
        <v>25</v>
      </c>
      <c r="F6" s="6"/>
      <c r="G6" s="6" t="s">
        <v>79</v>
      </c>
      <c r="H6" s="8" t="s">
        <v>80</v>
      </c>
      <c r="I6" s="8" t="s">
        <v>80</v>
      </c>
      <c r="J6" s="8"/>
      <c r="K6" s="9" t="s">
        <v>679</v>
      </c>
    </row>
    <row r="7" customFormat="false" ht="13.8" hidden="false" customHeight="false" outlineLevel="0" collapsed="false">
      <c r="A7" s="6" t="s">
        <v>11</v>
      </c>
      <c r="B7" s="6" t="s">
        <v>689</v>
      </c>
      <c r="C7" s="6" t="s">
        <v>690</v>
      </c>
      <c r="D7" s="6"/>
      <c r="E7" s="6" t="n">
        <f aca="false">27</f>
        <v>27</v>
      </c>
      <c r="F7" s="6"/>
      <c r="G7" s="6" t="s">
        <v>113</v>
      </c>
      <c r="H7" s="8" t="n">
        <f aca="false">VLOOKUP(G7,Klausurtage!$A$2:$B$15,2,FALSE())</f>
        <v>46049</v>
      </c>
      <c r="I7" s="8" t="s">
        <v>28</v>
      </c>
      <c r="J7" s="8" t="s">
        <v>282</v>
      </c>
      <c r="K7" s="9" t="s">
        <v>691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45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0.56"/>
    <col collapsed="false" customWidth="true" hidden="false" outlineLevel="0" max="3" min="3" style="1" width="32"/>
    <col collapsed="false" customWidth="true" hidden="false" outlineLevel="0" max="4" min="4" style="1" width="28.33"/>
    <col collapsed="false" customWidth="true" hidden="false" outlineLevel="0" max="5" min="5" style="1" width="12.11"/>
    <col collapsed="false" customWidth="true" hidden="false" outlineLevel="0" max="6" min="6" style="1" width="28.33"/>
    <col collapsed="false" customWidth="true" hidden="false" outlineLevel="0" max="7" min="7" style="2" width="13.56"/>
    <col collapsed="false" customWidth="true" hidden="false" outlineLevel="0" max="8" min="8" style="1" width="15"/>
    <col collapsed="false" customWidth="true" hidden="false" outlineLevel="0" max="9" min="9" style="1" width="14"/>
    <col collapsed="false" customWidth="true" hidden="false" outlineLevel="0" max="10" min="10" style="1" width="15.11"/>
    <col collapsed="false" customWidth="true" hidden="false" outlineLevel="0" max="11" min="11" style="1" width="48.33"/>
    <col collapsed="false" customWidth="false" hidden="false" outlineLevel="0" max="16384" min="12" style="1" width="11.45"/>
  </cols>
  <sheetData>
    <row r="1" customFormat="false" ht="67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13.8" hidden="false" customHeight="false" outlineLevel="0" collapsed="false">
      <c r="A2" s="6" t="s">
        <v>11</v>
      </c>
      <c r="B2" s="6" t="s">
        <v>692</v>
      </c>
      <c r="C2" s="6" t="s">
        <v>693</v>
      </c>
      <c r="D2" s="7" t="s">
        <v>694</v>
      </c>
      <c r="E2" s="6"/>
      <c r="F2" s="6"/>
      <c r="G2" s="6" t="s">
        <v>79</v>
      </c>
      <c r="H2" s="6" t="s">
        <v>695</v>
      </c>
      <c r="I2" s="6" t="s">
        <v>270</v>
      </c>
      <c r="J2" s="6"/>
      <c r="K2" s="6" t="s">
        <v>696</v>
      </c>
    </row>
    <row r="3" customFormat="false" ht="39.55" hidden="false" customHeight="false" outlineLevel="0" collapsed="false">
      <c r="A3" s="6" t="s">
        <v>11</v>
      </c>
      <c r="B3" s="6" t="s">
        <v>697</v>
      </c>
      <c r="C3" s="6" t="s">
        <v>698</v>
      </c>
      <c r="D3" s="7" t="s">
        <v>699</v>
      </c>
      <c r="E3" s="6"/>
      <c r="F3" s="6"/>
      <c r="G3" s="6" t="s">
        <v>79</v>
      </c>
      <c r="H3" s="6" t="s">
        <v>695</v>
      </c>
      <c r="I3" s="6" t="s">
        <v>270</v>
      </c>
      <c r="J3" s="6"/>
      <c r="K3" s="9" t="s">
        <v>700</v>
      </c>
    </row>
    <row r="4" customFormat="false" ht="26.85" hidden="false" customHeight="false" outlineLevel="0" collapsed="false">
      <c r="A4" s="6" t="s">
        <v>497</v>
      </c>
      <c r="B4" s="6" t="s">
        <v>701</v>
      </c>
      <c r="C4" s="9" t="s">
        <v>702</v>
      </c>
      <c r="D4" s="7"/>
      <c r="E4" s="6"/>
      <c r="F4" s="6"/>
      <c r="G4" s="6" t="s">
        <v>79</v>
      </c>
      <c r="H4" s="8" t="s">
        <v>80</v>
      </c>
      <c r="I4" s="6" t="s">
        <v>80</v>
      </c>
      <c r="J4" s="6"/>
      <c r="K4" s="9" t="s">
        <v>703</v>
      </c>
    </row>
    <row r="5" customFormat="false" ht="26.85" hidden="false" customHeight="false" outlineLevel="0" collapsed="false">
      <c r="A5" s="6" t="s">
        <v>497</v>
      </c>
      <c r="B5" s="6" t="s">
        <v>704</v>
      </c>
      <c r="C5" s="9" t="s">
        <v>705</v>
      </c>
      <c r="D5" s="7"/>
      <c r="E5" s="6"/>
      <c r="F5" s="6"/>
      <c r="G5" s="6" t="s">
        <v>79</v>
      </c>
      <c r="H5" s="8" t="s">
        <v>80</v>
      </c>
      <c r="I5" s="6" t="s">
        <v>80</v>
      </c>
      <c r="J5" s="6"/>
      <c r="K5" s="9" t="s">
        <v>706</v>
      </c>
    </row>
    <row r="6" customFormat="false" ht="13.8" hidden="false" customHeight="false" outlineLevel="0" collapsed="false">
      <c r="A6" s="6" t="s">
        <v>497</v>
      </c>
      <c r="B6" s="6" t="s">
        <v>707</v>
      </c>
      <c r="C6" s="6" t="s">
        <v>708</v>
      </c>
      <c r="D6" s="7"/>
      <c r="E6" s="6"/>
      <c r="F6" s="6"/>
      <c r="G6" s="6" t="s">
        <v>79</v>
      </c>
      <c r="H6" s="8" t="s">
        <v>709</v>
      </c>
      <c r="I6" s="6" t="s">
        <v>80</v>
      </c>
      <c r="J6" s="6"/>
      <c r="K6" s="9" t="s">
        <v>710</v>
      </c>
    </row>
    <row r="7" customFormat="false" ht="13.8" hidden="false" customHeight="false" outlineLevel="0" collapsed="false">
      <c r="A7" s="6" t="s">
        <v>11</v>
      </c>
      <c r="B7" s="6" t="s">
        <v>711</v>
      </c>
      <c r="C7" s="6" t="s">
        <v>712</v>
      </c>
      <c r="D7" s="7"/>
      <c r="E7" s="6"/>
      <c r="F7" s="6"/>
      <c r="G7" s="6" t="s">
        <v>79</v>
      </c>
      <c r="H7" s="8" t="s">
        <v>713</v>
      </c>
      <c r="I7" s="6" t="s">
        <v>80</v>
      </c>
      <c r="J7" s="6"/>
      <c r="K7" s="9" t="s">
        <v>36</v>
      </c>
    </row>
    <row r="8" customFormat="false" ht="13.8" hidden="false" customHeight="false" outlineLevel="0" collapsed="false">
      <c r="A8" s="6" t="s">
        <v>497</v>
      </c>
      <c r="B8" s="6" t="s">
        <v>714</v>
      </c>
      <c r="C8" s="6" t="s">
        <v>715</v>
      </c>
      <c r="D8" s="7" t="s">
        <v>716</v>
      </c>
      <c r="E8" s="6" t="n">
        <f aca="false">3</f>
        <v>3</v>
      </c>
      <c r="F8" s="6"/>
      <c r="G8" s="6" t="s">
        <v>324</v>
      </c>
      <c r="H8" s="8" t="n">
        <f aca="false">VLOOKUP(G8,Klausurtage!$A$2:$B$15,2,FALSE())</f>
        <v>46052</v>
      </c>
      <c r="I8" s="6" t="s">
        <v>16</v>
      </c>
      <c r="J8" s="6" t="s">
        <v>171</v>
      </c>
      <c r="K8" s="9" t="s">
        <v>717</v>
      </c>
    </row>
    <row r="9" customFormat="false" ht="13.8" hidden="false" customHeight="false" outlineLevel="0" collapsed="false">
      <c r="A9" s="6" t="s">
        <v>497</v>
      </c>
      <c r="B9" s="6" t="s">
        <v>718</v>
      </c>
      <c r="C9" s="6" t="s">
        <v>719</v>
      </c>
      <c r="D9" s="7" t="s">
        <v>720</v>
      </c>
      <c r="E9" s="6" t="n">
        <f aca="false">3</f>
        <v>3</v>
      </c>
      <c r="F9" s="6"/>
      <c r="G9" s="6" t="s">
        <v>324</v>
      </c>
      <c r="H9" s="8" t="n">
        <f aca="false">VLOOKUP(G9,Klausurtage!$A$2:$B$15,2,FALSE())</f>
        <v>46052</v>
      </c>
      <c r="I9" s="6" t="s">
        <v>721</v>
      </c>
      <c r="J9" s="6" t="s">
        <v>94</v>
      </c>
      <c r="K9" s="9" t="s">
        <v>717</v>
      </c>
    </row>
    <row r="10" customFormat="false" ht="13.8" hidden="false" customHeight="false" outlineLevel="0" collapsed="false">
      <c r="A10" s="6" t="s">
        <v>11</v>
      </c>
      <c r="B10" s="6" t="s">
        <v>722</v>
      </c>
      <c r="C10" s="6" t="s">
        <v>723</v>
      </c>
      <c r="D10" s="7" t="s">
        <v>724</v>
      </c>
      <c r="E10" s="6" t="n">
        <f aca="false">11</f>
        <v>11</v>
      </c>
      <c r="F10" s="6"/>
      <c r="G10" s="6" t="s">
        <v>324</v>
      </c>
      <c r="H10" s="8" t="n">
        <f aca="false">VLOOKUP(G10,Klausurtage!$A$2:$B$15,2,FALSE())</f>
        <v>46052</v>
      </c>
      <c r="I10" s="6" t="s">
        <v>16</v>
      </c>
      <c r="J10" s="6" t="s">
        <v>171</v>
      </c>
      <c r="K10" s="9" t="s">
        <v>717</v>
      </c>
    </row>
    <row r="11" customFormat="false" ht="13.8" hidden="false" customHeight="false" outlineLevel="0" collapsed="false">
      <c r="A11" s="6" t="s">
        <v>11</v>
      </c>
      <c r="B11" s="6" t="s">
        <v>725</v>
      </c>
      <c r="C11" s="6" t="s">
        <v>726</v>
      </c>
      <c r="D11" s="7" t="s">
        <v>727</v>
      </c>
      <c r="E11" s="6" t="n">
        <f aca="false">11</f>
        <v>11</v>
      </c>
      <c r="F11" s="6"/>
      <c r="G11" s="6" t="s">
        <v>324</v>
      </c>
      <c r="H11" s="8" t="n">
        <f aca="false">VLOOKUP(G11,Klausurtage!$A$2:$B$15,2,FALSE())</f>
        <v>46052</v>
      </c>
      <c r="I11" s="6" t="s">
        <v>114</v>
      </c>
      <c r="J11" s="6" t="s">
        <v>92</v>
      </c>
      <c r="K11" s="9" t="s">
        <v>717</v>
      </c>
    </row>
    <row r="12" customFormat="false" ht="13.8" hidden="false" customHeight="false" outlineLevel="0" collapsed="false">
      <c r="A12" s="6" t="s">
        <v>11</v>
      </c>
      <c r="B12" s="6" t="s">
        <v>728</v>
      </c>
      <c r="C12" s="6" t="s">
        <v>729</v>
      </c>
      <c r="D12" s="7" t="s">
        <v>730</v>
      </c>
      <c r="E12" s="6" t="n">
        <f aca="false">0</f>
        <v>0</v>
      </c>
      <c r="F12" s="6"/>
      <c r="G12" s="6" t="s">
        <v>324</v>
      </c>
      <c r="H12" s="8" t="n">
        <f aca="false">VLOOKUP(G12,Klausurtage!$A$2:$B$15,2,FALSE())</f>
        <v>46052</v>
      </c>
      <c r="I12" s="6" t="s">
        <v>721</v>
      </c>
      <c r="J12" s="6"/>
      <c r="K12" s="9" t="s">
        <v>717</v>
      </c>
    </row>
    <row r="13" customFormat="false" ht="13.8" hidden="false" customHeight="false" outlineLevel="0" collapsed="false">
      <c r="A13" s="6" t="s">
        <v>11</v>
      </c>
      <c r="B13" s="6" t="s">
        <v>731</v>
      </c>
      <c r="C13" s="6" t="s">
        <v>732</v>
      </c>
      <c r="D13" s="7" t="s">
        <v>733</v>
      </c>
      <c r="E13" s="6" t="n">
        <f aca="false">0</f>
        <v>0</v>
      </c>
      <c r="F13" s="6"/>
      <c r="G13" s="6" t="s">
        <v>324</v>
      </c>
      <c r="H13" s="8" t="n">
        <f aca="false">VLOOKUP(G13,Klausurtage!$A$2:$B$15,2,FALSE())</f>
        <v>46052</v>
      </c>
      <c r="I13" s="6" t="s">
        <v>158</v>
      </c>
      <c r="J13" s="6"/>
      <c r="K13" s="9" t="s">
        <v>717</v>
      </c>
    </row>
    <row r="14" customFormat="false" ht="13.8" hidden="false" customHeight="false" outlineLevel="0" collapsed="false">
      <c r="A14" s="6" t="s">
        <v>11</v>
      </c>
      <c r="B14" s="6" t="s">
        <v>734</v>
      </c>
      <c r="C14" s="6" t="s">
        <v>735</v>
      </c>
      <c r="D14" s="7" t="s">
        <v>736</v>
      </c>
      <c r="E14" s="6" t="n">
        <f aca="false">2</f>
        <v>2</v>
      </c>
      <c r="F14" s="6"/>
      <c r="G14" s="6" t="s">
        <v>324</v>
      </c>
      <c r="H14" s="8" t="n">
        <f aca="false">VLOOKUP(G14,Klausurtage!$A$2:$B$15,2,FALSE())</f>
        <v>46052</v>
      </c>
      <c r="I14" s="6" t="s">
        <v>198</v>
      </c>
      <c r="J14" s="6" t="s">
        <v>94</v>
      </c>
      <c r="K14" s="9" t="s">
        <v>717</v>
      </c>
    </row>
    <row r="15" customFormat="false" ht="13.8" hidden="false" customHeight="false" outlineLevel="0" collapsed="false">
      <c r="A15" s="6" t="s">
        <v>11</v>
      </c>
      <c r="B15" s="6" t="s">
        <v>737</v>
      </c>
      <c r="C15" s="6" t="s">
        <v>738</v>
      </c>
      <c r="D15" s="7" t="s">
        <v>739</v>
      </c>
      <c r="E15" s="6" t="n">
        <f aca="false">25</f>
        <v>25</v>
      </c>
      <c r="F15" s="6"/>
      <c r="G15" s="6" t="s">
        <v>324</v>
      </c>
      <c r="H15" s="8" t="n">
        <f aca="false">VLOOKUP(G15,Klausurtage!$A$2:$B$15,2,FALSE())</f>
        <v>46052</v>
      </c>
      <c r="I15" s="6" t="s">
        <v>158</v>
      </c>
      <c r="J15" s="6" t="s">
        <v>282</v>
      </c>
      <c r="K15" s="9" t="s">
        <v>740</v>
      </c>
    </row>
    <row r="16" customFormat="false" ht="26.85" hidden="false" customHeight="false" outlineLevel="0" collapsed="false">
      <c r="A16" s="6" t="s">
        <v>11</v>
      </c>
      <c r="B16" s="6" t="s">
        <v>741</v>
      </c>
      <c r="C16" s="6" t="s">
        <v>738</v>
      </c>
      <c r="D16" s="7"/>
      <c r="E16" s="6" t="n">
        <f aca="false">0+1</f>
        <v>1</v>
      </c>
      <c r="F16" s="6"/>
      <c r="G16" s="6" t="s">
        <v>324</v>
      </c>
      <c r="H16" s="8" t="n">
        <f aca="false">VLOOKUP(G16,Klausurtage!$A$2:$B$15,2,FALSE())</f>
        <v>46052</v>
      </c>
      <c r="I16" s="6" t="s">
        <v>158</v>
      </c>
      <c r="J16" s="6" t="s">
        <v>338</v>
      </c>
      <c r="K16" s="9" t="s">
        <v>742</v>
      </c>
    </row>
    <row r="17" customFormat="false" ht="14.15" hidden="false" customHeight="false" outlineLevel="0" collapsed="false">
      <c r="A17" s="6" t="s">
        <v>497</v>
      </c>
      <c r="B17" s="6" t="s">
        <v>743</v>
      </c>
      <c r="C17" s="6" t="s">
        <v>738</v>
      </c>
      <c r="D17" s="7"/>
      <c r="E17" s="6" t="n">
        <f aca="false">27</f>
        <v>27</v>
      </c>
      <c r="F17" s="6"/>
      <c r="G17" s="6" t="s">
        <v>324</v>
      </c>
      <c r="H17" s="8" t="n">
        <f aca="false">VLOOKUP(G17,Klausurtage!$A$2:$B$15,2,FALSE())</f>
        <v>46052</v>
      </c>
      <c r="I17" s="6" t="s">
        <v>158</v>
      </c>
      <c r="J17" s="6" t="s">
        <v>338</v>
      </c>
      <c r="K17" s="9" t="s">
        <v>744</v>
      </c>
    </row>
    <row r="18" customFormat="false" ht="26.85" hidden="false" customHeight="false" outlineLevel="0" collapsed="false">
      <c r="A18" s="6" t="s">
        <v>11</v>
      </c>
      <c r="B18" s="6" t="s">
        <v>745</v>
      </c>
      <c r="C18" s="6" t="s">
        <v>746</v>
      </c>
      <c r="D18" s="7" t="s">
        <v>747</v>
      </c>
      <c r="E18" s="6" t="n">
        <f aca="false">15</f>
        <v>15</v>
      </c>
      <c r="F18" s="6"/>
      <c r="G18" s="6" t="s">
        <v>324</v>
      </c>
      <c r="H18" s="8" t="n">
        <f aca="false">VLOOKUP(G18,Klausurtage!$A$2:$B$15,2,FALSE())</f>
        <v>46052</v>
      </c>
      <c r="I18" s="6" t="s">
        <v>158</v>
      </c>
      <c r="J18" s="6" t="s">
        <v>92</v>
      </c>
      <c r="K18" s="9" t="s">
        <v>748</v>
      </c>
    </row>
    <row r="19" customFormat="false" ht="26.85" hidden="false" customHeight="false" outlineLevel="0" collapsed="false">
      <c r="A19" s="6" t="s">
        <v>11</v>
      </c>
      <c r="B19" s="6" t="s">
        <v>749</v>
      </c>
      <c r="C19" s="6" t="s">
        <v>746</v>
      </c>
      <c r="D19" s="7"/>
      <c r="E19" s="6" t="n">
        <f aca="false">0</f>
        <v>0</v>
      </c>
      <c r="F19" s="6"/>
      <c r="G19" s="6" t="s">
        <v>324</v>
      </c>
      <c r="H19" s="8" t="n">
        <f aca="false">VLOOKUP(G19,Klausurtage!$A$2:$B$15,2,FALSE())</f>
        <v>46052</v>
      </c>
      <c r="I19" s="6" t="s">
        <v>158</v>
      </c>
      <c r="J19" s="6"/>
      <c r="K19" s="9" t="s">
        <v>748</v>
      </c>
    </row>
    <row r="20" customFormat="false" ht="14.15" hidden="false" customHeight="false" outlineLevel="0" collapsed="false">
      <c r="A20" s="6" t="s">
        <v>11</v>
      </c>
      <c r="B20" s="6" t="s">
        <v>750</v>
      </c>
      <c r="C20" s="6" t="s">
        <v>751</v>
      </c>
      <c r="D20" s="7" t="s">
        <v>752</v>
      </c>
      <c r="E20" s="6" t="n">
        <f aca="false">5</f>
        <v>5</v>
      </c>
      <c r="F20" s="49" t="n">
        <v>0.056</v>
      </c>
      <c r="G20" s="6" t="s">
        <v>324</v>
      </c>
      <c r="H20" s="8" t="n">
        <f aca="false">VLOOKUP(G20,Klausurtage!$A$2:$B$15,2,FALSE())</f>
        <v>46052</v>
      </c>
      <c r="I20" s="6" t="s">
        <v>158</v>
      </c>
      <c r="J20" s="6" t="s">
        <v>94</v>
      </c>
      <c r="K20" s="9" t="s">
        <v>753</v>
      </c>
    </row>
    <row r="21" customFormat="false" ht="14.15" hidden="false" customHeight="false" outlineLevel="0" collapsed="false">
      <c r="A21" s="6" t="s">
        <v>11</v>
      </c>
      <c r="B21" s="6" t="s">
        <v>754</v>
      </c>
      <c r="C21" s="6" t="s">
        <v>755</v>
      </c>
      <c r="D21" s="7" t="s">
        <v>756</v>
      </c>
      <c r="E21" s="6"/>
      <c r="F21" s="6"/>
      <c r="G21" s="6" t="s">
        <v>79</v>
      </c>
      <c r="H21" s="8" t="s">
        <v>80</v>
      </c>
      <c r="I21" s="6" t="s">
        <v>80</v>
      </c>
      <c r="J21" s="6"/>
      <c r="K21" s="9" t="s">
        <v>757</v>
      </c>
    </row>
    <row r="22" customFormat="false" ht="14.15" hidden="false" customHeight="false" outlineLevel="0" collapsed="false">
      <c r="A22" s="6" t="s">
        <v>497</v>
      </c>
      <c r="B22" s="6" t="s">
        <v>758</v>
      </c>
      <c r="C22" s="6" t="s">
        <v>759</v>
      </c>
      <c r="D22" s="7"/>
      <c r="E22" s="6" t="n">
        <f aca="false">0</f>
        <v>0</v>
      </c>
      <c r="F22" s="6"/>
      <c r="G22" s="6" t="s">
        <v>324</v>
      </c>
      <c r="H22" s="8" t="n">
        <f aca="false">VLOOKUP(G22,Klausurtage!$A$2:$B$15,2,FALSE())</f>
        <v>46052</v>
      </c>
      <c r="I22" s="6" t="s">
        <v>158</v>
      </c>
      <c r="J22" s="6"/>
      <c r="K22" s="9" t="s">
        <v>757</v>
      </c>
    </row>
    <row r="23" customFormat="false" ht="14.15" hidden="false" customHeight="false" outlineLevel="0" collapsed="false">
      <c r="A23" s="6" t="s">
        <v>11</v>
      </c>
      <c r="B23" s="6" t="s">
        <v>760</v>
      </c>
      <c r="C23" s="6" t="s">
        <v>761</v>
      </c>
      <c r="D23" s="7" t="s">
        <v>762</v>
      </c>
      <c r="E23" s="6" t="n">
        <f aca="false">1+3</f>
        <v>4</v>
      </c>
      <c r="F23" s="6"/>
      <c r="G23" s="6" t="s">
        <v>79</v>
      </c>
      <c r="H23" s="8" t="s">
        <v>80</v>
      </c>
      <c r="I23" s="6" t="s">
        <v>80</v>
      </c>
      <c r="J23" s="6"/>
      <c r="K23" s="9" t="s">
        <v>757</v>
      </c>
    </row>
    <row r="24" customFormat="false" ht="26.85" hidden="false" customHeight="false" outlineLevel="0" collapsed="false">
      <c r="A24" s="6" t="s">
        <v>11</v>
      </c>
      <c r="B24" s="6" t="s">
        <v>763</v>
      </c>
      <c r="C24" s="6" t="s">
        <v>764</v>
      </c>
      <c r="D24" s="7" t="s">
        <v>765</v>
      </c>
      <c r="E24" s="6" t="n">
        <f aca="false">1+4</f>
        <v>5</v>
      </c>
      <c r="F24" s="6"/>
      <c r="G24" s="6" t="s">
        <v>79</v>
      </c>
      <c r="H24" s="8" t="s">
        <v>80</v>
      </c>
      <c r="I24" s="6" t="s">
        <v>80</v>
      </c>
      <c r="J24" s="6"/>
      <c r="K24" s="9" t="s">
        <v>766</v>
      </c>
    </row>
    <row r="25" customFormat="false" ht="13.8" hidden="false" customHeight="false" outlineLevel="0" collapsed="false">
      <c r="A25" s="6" t="s">
        <v>11</v>
      </c>
      <c r="B25" s="6" t="s">
        <v>767</v>
      </c>
      <c r="C25" s="6" t="s">
        <v>768</v>
      </c>
      <c r="D25" s="7"/>
      <c r="E25" s="6" t="n">
        <f aca="false">5</f>
        <v>5</v>
      </c>
      <c r="F25" s="6"/>
      <c r="G25" s="6" t="s">
        <v>324</v>
      </c>
      <c r="H25" s="8" t="n">
        <f aca="false">VLOOKUP(G25,Klausurtage!$A$2:$B$15,2,FALSE())</f>
        <v>46052</v>
      </c>
      <c r="I25" s="6" t="s">
        <v>198</v>
      </c>
      <c r="J25" s="6" t="s">
        <v>519</v>
      </c>
      <c r="K25" s="9" t="s">
        <v>769</v>
      </c>
    </row>
    <row r="26" customFormat="false" ht="13.8" hidden="false" customHeight="false" outlineLevel="0" collapsed="false">
      <c r="A26" s="6" t="s">
        <v>11</v>
      </c>
      <c r="B26" s="6" t="s">
        <v>770</v>
      </c>
      <c r="C26" s="6" t="s">
        <v>771</v>
      </c>
      <c r="D26" s="7"/>
      <c r="E26" s="6" t="n">
        <f aca="false">0</f>
        <v>0</v>
      </c>
      <c r="F26" s="6"/>
      <c r="G26" s="6" t="s">
        <v>324</v>
      </c>
      <c r="H26" s="8" t="n">
        <f aca="false">VLOOKUP(G26,Klausurtage!$A$2:$B$15,2,FALSE())</f>
        <v>46052</v>
      </c>
      <c r="I26" s="6" t="s">
        <v>198</v>
      </c>
      <c r="J26" s="6"/>
      <c r="K26" s="9" t="s">
        <v>769</v>
      </c>
    </row>
    <row r="27" customFormat="false" ht="13.8" hidden="false" customHeight="false" outlineLevel="0" collapsed="false">
      <c r="A27" s="6" t="s">
        <v>11</v>
      </c>
      <c r="B27" s="6" t="s">
        <v>772</v>
      </c>
      <c r="C27" s="6" t="s">
        <v>773</v>
      </c>
      <c r="D27" s="7"/>
      <c r="E27" s="6" t="n">
        <f aca="false">4</f>
        <v>4</v>
      </c>
      <c r="F27" s="6"/>
      <c r="G27" s="6" t="s">
        <v>324</v>
      </c>
      <c r="H27" s="8" t="n">
        <f aca="false">VLOOKUP(G27,Klausurtage!$A$2:$B$15,2,FALSE())</f>
        <v>46052</v>
      </c>
      <c r="I27" s="6" t="s">
        <v>774</v>
      </c>
      <c r="J27" s="6" t="s">
        <v>94</v>
      </c>
      <c r="K27" s="9" t="s">
        <v>775</v>
      </c>
    </row>
    <row r="28" customFormat="false" ht="13.8" hidden="false" customHeight="false" outlineLevel="0" collapsed="false">
      <c r="A28" s="6" t="s">
        <v>11</v>
      </c>
      <c r="B28" s="6" t="s">
        <v>776</v>
      </c>
      <c r="C28" s="6" t="s">
        <v>777</v>
      </c>
      <c r="D28" s="7"/>
      <c r="E28" s="6" t="n">
        <f aca="false">16</f>
        <v>16</v>
      </c>
      <c r="F28" s="6"/>
      <c r="G28" s="6" t="s">
        <v>324</v>
      </c>
      <c r="H28" s="8" t="n">
        <f aca="false">VLOOKUP(G28,Klausurtage!$A$2:$B$15,2,FALSE())</f>
        <v>46052</v>
      </c>
      <c r="I28" s="6" t="s">
        <v>16</v>
      </c>
      <c r="J28" s="6" t="s">
        <v>449</v>
      </c>
      <c r="K28" s="6" t="s">
        <v>778</v>
      </c>
    </row>
    <row r="29" customFormat="false" ht="13.8" hidden="false" customHeight="false" outlineLevel="0" collapsed="false">
      <c r="A29" s="6" t="s">
        <v>11</v>
      </c>
      <c r="B29" s="6" t="s">
        <v>779</v>
      </c>
      <c r="C29" s="6" t="s">
        <v>777</v>
      </c>
      <c r="D29" s="7"/>
      <c r="E29" s="6" t="n">
        <f aca="false">14</f>
        <v>14</v>
      </c>
      <c r="F29" s="6"/>
      <c r="G29" s="6" t="s">
        <v>324</v>
      </c>
      <c r="H29" s="8" t="n">
        <f aca="false">VLOOKUP(G29,Klausurtage!$A$2:$B$15,2,FALSE())</f>
        <v>46052</v>
      </c>
      <c r="I29" s="6" t="s">
        <v>16</v>
      </c>
      <c r="J29" s="6" t="s">
        <v>516</v>
      </c>
      <c r="K29" s="6" t="s">
        <v>780</v>
      </c>
    </row>
    <row r="30" customFormat="false" ht="13.8" hidden="false" customHeight="false" outlineLevel="0" collapsed="false">
      <c r="A30" s="6" t="s">
        <v>11</v>
      </c>
      <c r="B30" s="6" t="s">
        <v>781</v>
      </c>
      <c r="C30" s="6" t="s">
        <v>782</v>
      </c>
      <c r="D30" s="7"/>
      <c r="E30" s="6" t="n">
        <f aca="false">10</f>
        <v>10</v>
      </c>
      <c r="F30" s="6"/>
      <c r="G30" s="6" t="s">
        <v>324</v>
      </c>
      <c r="H30" s="8" t="n">
        <f aca="false">VLOOKUP(G30,Klausurtage!$A$2:$B$15,2,FALSE())</f>
        <v>46052</v>
      </c>
      <c r="I30" s="6" t="s">
        <v>114</v>
      </c>
      <c r="J30" s="6" t="s">
        <v>449</v>
      </c>
      <c r="K30" s="6" t="s">
        <v>778</v>
      </c>
    </row>
    <row r="31" customFormat="false" ht="13.8" hidden="false" customHeight="false" outlineLevel="0" collapsed="false">
      <c r="A31" s="6" t="s">
        <v>11</v>
      </c>
      <c r="B31" s="6" t="s">
        <v>783</v>
      </c>
      <c r="C31" s="6" t="s">
        <v>784</v>
      </c>
      <c r="D31" s="7" t="s">
        <v>785</v>
      </c>
      <c r="E31" s="6" t="n">
        <f aca="false">4+1+1</f>
        <v>6</v>
      </c>
      <c r="F31" s="6"/>
      <c r="G31" s="6" t="s">
        <v>324</v>
      </c>
      <c r="H31" s="8" t="n">
        <f aca="false">VLOOKUP(G31,Klausurtage!$A$2:$B$15,2,FALSE())</f>
        <v>46052</v>
      </c>
      <c r="I31" s="6" t="s">
        <v>198</v>
      </c>
      <c r="J31" s="6" t="s">
        <v>449</v>
      </c>
      <c r="K31" s="6" t="s">
        <v>780</v>
      </c>
    </row>
    <row r="32" customFormat="false" ht="13.8" hidden="false" customHeight="false" outlineLevel="0" collapsed="false">
      <c r="A32" s="6" t="s">
        <v>11</v>
      </c>
      <c r="B32" s="6" t="s">
        <v>786</v>
      </c>
      <c r="C32" s="6" t="s">
        <v>787</v>
      </c>
      <c r="D32" s="7" t="s">
        <v>788</v>
      </c>
      <c r="E32" s="6" t="n">
        <f aca="false">5</f>
        <v>5</v>
      </c>
      <c r="F32" s="6"/>
      <c r="G32" s="6" t="s">
        <v>324</v>
      </c>
      <c r="H32" s="8" t="n">
        <f aca="false">VLOOKUP(G32,Klausurtage!$A$2:$B$15,2,FALSE())</f>
        <v>46052</v>
      </c>
      <c r="I32" s="6" t="s">
        <v>28</v>
      </c>
      <c r="J32" s="6" t="s">
        <v>449</v>
      </c>
      <c r="K32" s="6" t="s">
        <v>778</v>
      </c>
    </row>
    <row r="33" customFormat="false" ht="13.8" hidden="false" customHeight="false" outlineLevel="0" collapsed="false">
      <c r="A33" s="6" t="s">
        <v>11</v>
      </c>
      <c r="B33" s="6" t="s">
        <v>789</v>
      </c>
      <c r="C33" s="6" t="s">
        <v>790</v>
      </c>
      <c r="D33" s="7" t="s">
        <v>791</v>
      </c>
      <c r="E33" s="6" t="n">
        <f aca="false">6</f>
        <v>6</v>
      </c>
      <c r="F33" s="6"/>
      <c r="G33" s="6" t="s">
        <v>324</v>
      </c>
      <c r="H33" s="8" t="n">
        <f aca="false">VLOOKUP(G33,Klausurtage!$A$2:$B$15,2,FALSE())</f>
        <v>46052</v>
      </c>
      <c r="I33" s="6" t="s">
        <v>198</v>
      </c>
      <c r="J33" s="6" t="s">
        <v>449</v>
      </c>
      <c r="K33" s="6" t="s">
        <v>780</v>
      </c>
    </row>
    <row r="34" customFormat="false" ht="13.8" hidden="false" customHeight="false" outlineLevel="0" collapsed="false">
      <c r="A34" s="6" t="s">
        <v>11</v>
      </c>
      <c r="B34" s="6" t="s">
        <v>792</v>
      </c>
      <c r="C34" s="6" t="s">
        <v>793</v>
      </c>
      <c r="D34" s="7" t="s">
        <v>794</v>
      </c>
      <c r="E34" s="6" t="n">
        <f aca="false">2+1</f>
        <v>3</v>
      </c>
      <c r="F34" s="6"/>
      <c r="G34" s="6" t="s">
        <v>324</v>
      </c>
      <c r="H34" s="8" t="n">
        <f aca="false">VLOOKUP(G34,Klausurtage!$A$2:$B$15,2,FALSE())</f>
        <v>46052</v>
      </c>
      <c r="I34" s="6" t="s">
        <v>198</v>
      </c>
      <c r="J34" s="6" t="s">
        <v>449</v>
      </c>
      <c r="K34" s="6" t="s">
        <v>780</v>
      </c>
    </row>
    <row r="35" customFormat="false" ht="13.8" hidden="false" customHeight="false" outlineLevel="0" collapsed="false">
      <c r="A35" s="6" t="s">
        <v>11</v>
      </c>
      <c r="B35" s="6" t="s">
        <v>795</v>
      </c>
      <c r="C35" s="6" t="s">
        <v>796</v>
      </c>
      <c r="D35" s="7" t="s">
        <v>797</v>
      </c>
      <c r="E35" s="6" t="n">
        <f aca="false">9</f>
        <v>9</v>
      </c>
      <c r="F35" s="6"/>
      <c r="G35" s="6" t="s">
        <v>324</v>
      </c>
      <c r="H35" s="8" t="n">
        <f aca="false">VLOOKUP(G35,Klausurtage!$A$2:$B$15,2,FALSE())</f>
        <v>46052</v>
      </c>
      <c r="I35" s="6" t="s">
        <v>774</v>
      </c>
      <c r="J35" s="6" t="s">
        <v>519</v>
      </c>
      <c r="K35" s="6" t="s">
        <v>778</v>
      </c>
    </row>
    <row r="36" customFormat="false" ht="13.8" hidden="false" customHeight="false" outlineLevel="0" collapsed="false">
      <c r="A36" s="6" t="s">
        <v>11</v>
      </c>
      <c r="B36" s="6" t="s">
        <v>798</v>
      </c>
      <c r="C36" s="6" t="s">
        <v>799</v>
      </c>
      <c r="D36" s="7"/>
      <c r="E36" s="6" t="n">
        <f aca="false">9</f>
        <v>9</v>
      </c>
      <c r="F36" s="6"/>
      <c r="G36" s="6" t="s">
        <v>324</v>
      </c>
      <c r="H36" s="8" t="n">
        <f aca="false">VLOOKUP(G36,Klausurtage!$A$2:$B$15,2,FALSE())</f>
        <v>46052</v>
      </c>
      <c r="I36" s="6" t="s">
        <v>774</v>
      </c>
      <c r="J36" s="6" t="s">
        <v>92</v>
      </c>
      <c r="K36" s="6" t="s">
        <v>800</v>
      </c>
    </row>
    <row r="37" customFormat="false" ht="13.8" hidden="false" customHeight="false" outlineLevel="0" collapsed="false">
      <c r="A37" s="6" t="s">
        <v>497</v>
      </c>
      <c r="B37" s="6" t="s">
        <v>801</v>
      </c>
      <c r="C37" s="6" t="s">
        <v>802</v>
      </c>
      <c r="D37" s="7" t="s">
        <v>803</v>
      </c>
      <c r="E37" s="6" t="n">
        <f aca="false">0</f>
        <v>0</v>
      </c>
      <c r="F37" s="6"/>
      <c r="G37" s="6" t="s">
        <v>324</v>
      </c>
      <c r="H37" s="8" t="n">
        <f aca="false">VLOOKUP(G37,Klausurtage!$A$2:$B$15,2,FALSE())</f>
        <v>46052</v>
      </c>
      <c r="I37" s="6" t="s">
        <v>198</v>
      </c>
      <c r="J37" s="6"/>
      <c r="K37" s="6" t="s">
        <v>778</v>
      </c>
    </row>
    <row r="38" customFormat="false" ht="13.8" hidden="false" customHeight="false" outlineLevel="0" collapsed="false">
      <c r="A38" s="6" t="s">
        <v>497</v>
      </c>
      <c r="B38" s="6" t="s">
        <v>804</v>
      </c>
      <c r="C38" s="6" t="s">
        <v>805</v>
      </c>
      <c r="D38" s="7"/>
      <c r="E38" s="6" t="n">
        <f aca="false">0</f>
        <v>0</v>
      </c>
      <c r="F38" s="6"/>
      <c r="G38" s="6" t="s">
        <v>324</v>
      </c>
      <c r="H38" s="8" t="n">
        <f aca="false">VLOOKUP(G38,Klausurtage!$A$2:$B$15,2,FALSE())</f>
        <v>46052</v>
      </c>
      <c r="I38" s="6" t="s">
        <v>158</v>
      </c>
      <c r="J38" s="6"/>
      <c r="K38" s="6" t="s">
        <v>780</v>
      </c>
    </row>
    <row r="39" customFormat="false" ht="13.8" hidden="false" customHeight="false" outlineLevel="0" collapsed="false">
      <c r="A39" s="6" t="s">
        <v>11</v>
      </c>
      <c r="B39" s="6" t="s">
        <v>806</v>
      </c>
      <c r="C39" s="9" t="s">
        <v>807</v>
      </c>
      <c r="D39" s="7"/>
      <c r="E39" s="6" t="n">
        <f aca="false">26</f>
        <v>26</v>
      </c>
      <c r="F39" s="28" t="n">
        <v>0.1</v>
      </c>
      <c r="G39" s="6" t="s">
        <v>324</v>
      </c>
      <c r="H39" s="8" t="n">
        <f aca="false">VLOOKUP(G39,Klausurtage!$A$2:$B$15,2,FALSE())</f>
        <v>46052</v>
      </c>
      <c r="I39" s="6" t="s">
        <v>28</v>
      </c>
      <c r="J39" s="6" t="s">
        <v>338</v>
      </c>
      <c r="K39" s="6" t="s">
        <v>67</v>
      </c>
    </row>
    <row r="40" customFormat="false" ht="26.85" hidden="false" customHeight="false" outlineLevel="0" collapsed="false">
      <c r="A40" s="6" t="s">
        <v>11</v>
      </c>
      <c r="B40" s="6" t="s">
        <v>808</v>
      </c>
      <c r="C40" s="9" t="s">
        <v>809</v>
      </c>
      <c r="D40" s="7"/>
      <c r="E40" s="6" t="n">
        <f aca="false">26</f>
        <v>26</v>
      </c>
      <c r="F40" s="6"/>
      <c r="G40" s="6" t="s">
        <v>324</v>
      </c>
      <c r="H40" s="8" t="n">
        <f aca="false">VLOOKUP(G40,Klausurtage!$A$2:$B$15,2,FALSE())</f>
        <v>46052</v>
      </c>
      <c r="I40" s="6" t="s">
        <v>114</v>
      </c>
      <c r="J40" s="6" t="s">
        <v>338</v>
      </c>
      <c r="K40" s="9" t="s">
        <v>810</v>
      </c>
    </row>
    <row r="41" customFormat="false" ht="26.85" hidden="false" customHeight="false" outlineLevel="0" collapsed="false">
      <c r="A41" s="6" t="s">
        <v>11</v>
      </c>
      <c r="B41" s="6" t="s">
        <v>811</v>
      </c>
      <c r="C41" s="9" t="s">
        <v>812</v>
      </c>
      <c r="D41" s="7"/>
      <c r="E41" s="6" t="n">
        <f aca="false">10</f>
        <v>10</v>
      </c>
      <c r="F41" s="6"/>
      <c r="G41" s="6" t="s">
        <v>324</v>
      </c>
      <c r="H41" s="8" t="n">
        <f aca="false">VLOOKUP(G41,Klausurtage!$A$2:$B$15,2,FALSE())</f>
        <v>46052</v>
      </c>
      <c r="I41" s="6" t="s">
        <v>158</v>
      </c>
      <c r="J41" s="6" t="s">
        <v>519</v>
      </c>
      <c r="K41" s="6" t="s">
        <v>813</v>
      </c>
    </row>
    <row r="42" customFormat="false" ht="13.8" hidden="false" customHeight="false" outlineLevel="0" collapsed="false">
      <c r="A42" s="6" t="s">
        <v>11</v>
      </c>
      <c r="B42" s="6" t="s">
        <v>814</v>
      </c>
      <c r="C42" s="9" t="s">
        <v>815</v>
      </c>
      <c r="D42" s="7" t="s">
        <v>816</v>
      </c>
      <c r="E42" s="6" t="n">
        <f aca="false">6</f>
        <v>6</v>
      </c>
      <c r="F42" s="6"/>
      <c r="G42" s="6" t="s">
        <v>324</v>
      </c>
      <c r="H42" s="8" t="n">
        <f aca="false">VLOOKUP(G42,Klausurtage!$A$2:$B$15,2,FALSE())</f>
        <v>46052</v>
      </c>
      <c r="I42" s="6" t="s">
        <v>481</v>
      </c>
      <c r="J42" s="6" t="s">
        <v>94</v>
      </c>
      <c r="K42" s="6" t="s">
        <v>817</v>
      </c>
    </row>
    <row r="43" customFormat="false" ht="13.8" hidden="false" customHeight="false" outlineLevel="0" collapsed="false">
      <c r="A43" s="6" t="s">
        <v>497</v>
      </c>
      <c r="B43" s="6" t="s">
        <v>818</v>
      </c>
      <c r="C43" s="9" t="s">
        <v>819</v>
      </c>
      <c r="D43" s="7" t="s">
        <v>820</v>
      </c>
      <c r="E43" s="6" t="n">
        <f aca="false">1</f>
        <v>1</v>
      </c>
      <c r="F43" s="6"/>
      <c r="G43" s="6" t="s">
        <v>324</v>
      </c>
      <c r="H43" s="8" t="n">
        <f aca="false">VLOOKUP(G43,Klausurtage!$A$2:$B$15,2,FALSE())</f>
        <v>46052</v>
      </c>
      <c r="I43" s="6" t="s">
        <v>774</v>
      </c>
      <c r="J43" s="6" t="s">
        <v>449</v>
      </c>
      <c r="K43" s="6" t="s">
        <v>817</v>
      </c>
    </row>
    <row r="44" customFormat="false" ht="13.8" hidden="false" customHeight="false" outlineLevel="0" collapsed="false">
      <c r="A44" s="6" t="s">
        <v>11</v>
      </c>
      <c r="B44" s="6" t="s">
        <v>821</v>
      </c>
      <c r="C44" s="9" t="s">
        <v>822</v>
      </c>
      <c r="D44" s="7"/>
      <c r="E44" s="6" t="n">
        <f aca="false">0</f>
        <v>0</v>
      </c>
      <c r="F44" s="6"/>
      <c r="G44" s="6" t="s">
        <v>324</v>
      </c>
      <c r="H44" s="8" t="n">
        <f aca="false">VLOOKUP(G44,Klausurtage!$A$2:$B$15,2,FALSE())</f>
        <v>46052</v>
      </c>
      <c r="I44" s="6" t="s">
        <v>774</v>
      </c>
      <c r="J44" s="6"/>
      <c r="K44" s="6" t="s">
        <v>823</v>
      </c>
    </row>
    <row r="45" customFormat="false" ht="26.85" hidden="false" customHeight="false" outlineLevel="0" collapsed="false">
      <c r="A45" s="6" t="s">
        <v>11</v>
      </c>
      <c r="B45" s="6" t="s">
        <v>824</v>
      </c>
      <c r="C45" s="9" t="s">
        <v>825</v>
      </c>
      <c r="D45" s="7" t="s">
        <v>826</v>
      </c>
      <c r="E45" s="6" t="n">
        <f aca="false">19+6</f>
        <v>25</v>
      </c>
      <c r="F45" s="6"/>
      <c r="G45" s="6" t="s">
        <v>40</v>
      </c>
      <c r="H45" s="8" t="n">
        <f aca="false">VLOOKUP(G45,Klausurtage!$A$2:$B$15,2,FALSE())</f>
        <v>46043</v>
      </c>
      <c r="I45" s="6" t="s">
        <v>827</v>
      </c>
      <c r="J45" s="6" t="s">
        <v>338</v>
      </c>
      <c r="K45" s="6" t="s">
        <v>828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A1:K5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53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49.89"/>
    <col collapsed="false" customWidth="true" hidden="false" outlineLevel="0" max="3" min="3" style="1" width="41.33"/>
    <col collapsed="false" customWidth="true" hidden="false" outlineLevel="0" max="4" min="4" style="1" width="34.67"/>
    <col collapsed="false" customWidth="true" hidden="false" outlineLevel="0" max="5" min="5" style="1" width="12.11"/>
    <col collapsed="false" customWidth="true" hidden="false" outlineLevel="0" max="6" min="6" style="1" width="15.11"/>
    <col collapsed="false" customWidth="true" hidden="false" outlineLevel="0" max="7" min="7" style="1" width="14.44"/>
    <col collapsed="false" customWidth="true" hidden="false" outlineLevel="0" max="8" min="8" style="2" width="15.33"/>
    <col collapsed="false" customWidth="true" hidden="false" outlineLevel="0" max="9" min="9" style="1" width="19.55"/>
    <col collapsed="false" customWidth="true" hidden="false" outlineLevel="0" max="10" min="10" style="1" width="17.15"/>
    <col collapsed="false" customWidth="true" hidden="false" outlineLevel="0" max="11" min="11" style="1" width="64"/>
    <col collapsed="false" customWidth="false" hidden="false" outlineLevel="0" max="16384" min="12" style="1" width="11.45"/>
  </cols>
  <sheetData>
    <row r="1" customFormat="false" ht="70.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11</v>
      </c>
      <c r="B2" s="6" t="s">
        <v>829</v>
      </c>
      <c r="C2" s="6" t="s">
        <v>830</v>
      </c>
      <c r="D2" s="6"/>
      <c r="E2" s="6" t="n">
        <f aca="false">10</f>
        <v>10</v>
      </c>
      <c r="F2" s="6"/>
      <c r="G2" s="6" t="s">
        <v>52</v>
      </c>
      <c r="H2" s="8" t="n">
        <f aca="false">VLOOKUP(G2,Klausurtage!$A$2:$B$15,2,FALSE())</f>
        <v>46045</v>
      </c>
      <c r="I2" s="6" t="s">
        <v>831</v>
      </c>
      <c r="J2" s="6" t="s">
        <v>519</v>
      </c>
      <c r="K2" s="9" t="s">
        <v>832</v>
      </c>
    </row>
    <row r="3" customFormat="false" ht="26.85" hidden="false" customHeight="false" outlineLevel="0" collapsed="false">
      <c r="A3" s="6" t="s">
        <v>11</v>
      </c>
      <c r="B3" s="6" t="s">
        <v>833</v>
      </c>
      <c r="C3" s="6" t="s">
        <v>834</v>
      </c>
      <c r="D3" s="6"/>
      <c r="E3" s="6"/>
      <c r="F3" s="6"/>
      <c r="G3" s="6" t="s">
        <v>79</v>
      </c>
      <c r="H3" s="8" t="s">
        <v>80</v>
      </c>
      <c r="I3" s="6" t="s">
        <v>80</v>
      </c>
      <c r="J3" s="6"/>
      <c r="K3" s="9" t="s">
        <v>835</v>
      </c>
    </row>
    <row r="4" customFormat="false" ht="13.8" hidden="false" customHeight="false" outlineLevel="0" collapsed="false">
      <c r="A4" s="6" t="s">
        <v>497</v>
      </c>
      <c r="B4" s="6" t="s">
        <v>836</v>
      </c>
      <c r="C4" s="6" t="s">
        <v>837</v>
      </c>
      <c r="D4" s="6"/>
      <c r="E4" s="6"/>
      <c r="F4" s="6"/>
      <c r="G4" s="6" t="s">
        <v>79</v>
      </c>
      <c r="H4" s="8" t="s">
        <v>80</v>
      </c>
      <c r="I4" s="6" t="s">
        <v>80</v>
      </c>
      <c r="J4" s="6"/>
      <c r="K4" s="9" t="s">
        <v>140</v>
      </c>
    </row>
    <row r="5" customFormat="false" ht="26.85" hidden="false" customHeight="false" outlineLevel="0" collapsed="false">
      <c r="A5" s="6" t="s">
        <v>497</v>
      </c>
      <c r="B5" s="6" t="s">
        <v>838</v>
      </c>
      <c r="C5" s="6" t="s">
        <v>839</v>
      </c>
      <c r="D5" s="6"/>
      <c r="E5" s="6"/>
      <c r="F5" s="6"/>
      <c r="G5" s="6" t="s">
        <v>79</v>
      </c>
      <c r="H5" s="8" t="s">
        <v>80</v>
      </c>
      <c r="I5" s="6" t="s">
        <v>80</v>
      </c>
      <c r="J5" s="6"/>
      <c r="K5" s="9" t="s">
        <v>840</v>
      </c>
    </row>
    <row r="6" customFormat="false" ht="13.8" hidden="false" customHeight="false" outlineLevel="0" collapsed="false">
      <c r="A6" s="6" t="s">
        <v>497</v>
      </c>
      <c r="B6" s="6" t="s">
        <v>841</v>
      </c>
      <c r="C6" s="6" t="s">
        <v>842</v>
      </c>
      <c r="D6" s="6"/>
      <c r="E6" s="6"/>
      <c r="F6" s="6"/>
      <c r="G6" s="6" t="s">
        <v>79</v>
      </c>
      <c r="H6" s="8" t="s">
        <v>80</v>
      </c>
      <c r="I6" s="6" t="s">
        <v>80</v>
      </c>
      <c r="J6" s="6"/>
      <c r="K6" s="9" t="s">
        <v>683</v>
      </c>
    </row>
    <row r="7" customFormat="false" ht="13.8" hidden="false" customHeight="false" outlineLevel="0" collapsed="false">
      <c r="A7" s="6" t="s">
        <v>11</v>
      </c>
      <c r="B7" s="6" t="s">
        <v>843</v>
      </c>
      <c r="C7" s="6" t="s">
        <v>844</v>
      </c>
      <c r="D7" s="6"/>
      <c r="E7" s="6" t="n">
        <f aca="false">25</f>
        <v>25</v>
      </c>
      <c r="F7" s="28" t="n">
        <v>0.1</v>
      </c>
      <c r="G7" s="6" t="s">
        <v>324</v>
      </c>
      <c r="H7" s="8" t="n">
        <f aca="false">VLOOKUP(G7,Klausurtage!$A$2:$B$15,2,FALSE())</f>
        <v>46052</v>
      </c>
      <c r="I7" s="6" t="s">
        <v>198</v>
      </c>
      <c r="J7" s="6" t="s">
        <v>845</v>
      </c>
      <c r="K7" s="9" t="s">
        <v>846</v>
      </c>
    </row>
    <row r="8" customFormat="false" ht="26.85" hidden="false" customHeight="false" outlineLevel="0" collapsed="false">
      <c r="A8" s="6" t="s">
        <v>497</v>
      </c>
      <c r="B8" s="6" t="s">
        <v>847</v>
      </c>
      <c r="C8" s="6" t="s">
        <v>848</v>
      </c>
      <c r="D8" s="6"/>
      <c r="E8" s="6"/>
      <c r="F8" s="6"/>
      <c r="G8" s="6" t="s">
        <v>79</v>
      </c>
      <c r="H8" s="8" t="s">
        <v>80</v>
      </c>
      <c r="I8" s="6" t="s">
        <v>80</v>
      </c>
      <c r="J8" s="6"/>
      <c r="K8" s="9" t="s">
        <v>849</v>
      </c>
    </row>
    <row r="9" customFormat="false" ht="39.55" hidden="false" customHeight="false" outlineLevel="0" collapsed="false">
      <c r="A9" s="6" t="s">
        <v>11</v>
      </c>
      <c r="B9" s="6" t="s">
        <v>850</v>
      </c>
      <c r="C9" s="9" t="s">
        <v>851</v>
      </c>
      <c r="D9" s="6"/>
      <c r="E9" s="6"/>
      <c r="F9" s="6"/>
      <c r="G9" s="6" t="s">
        <v>79</v>
      </c>
      <c r="H9" s="6" t="s">
        <v>270</v>
      </c>
      <c r="I9" s="6" t="s">
        <v>270</v>
      </c>
      <c r="J9" s="6"/>
      <c r="K9" s="9" t="s">
        <v>852</v>
      </c>
    </row>
    <row r="10" customFormat="false" ht="13.8" hidden="false" customHeight="false" outlineLevel="0" collapsed="false">
      <c r="A10" s="6" t="s">
        <v>11</v>
      </c>
      <c r="B10" s="6" t="s">
        <v>853</v>
      </c>
      <c r="C10" s="9" t="s">
        <v>854</v>
      </c>
      <c r="D10" s="6"/>
      <c r="E10" s="6"/>
      <c r="F10" s="6"/>
      <c r="G10" s="6" t="s">
        <v>79</v>
      </c>
      <c r="H10" s="8" t="s">
        <v>855</v>
      </c>
      <c r="I10" s="6" t="s">
        <v>80</v>
      </c>
      <c r="J10" s="6"/>
      <c r="K10" s="9" t="s">
        <v>856</v>
      </c>
    </row>
    <row r="11" customFormat="false" ht="13.8" hidden="false" customHeight="false" outlineLevel="0" collapsed="false">
      <c r="A11" s="6" t="s">
        <v>497</v>
      </c>
      <c r="B11" s="6" t="s">
        <v>857</v>
      </c>
      <c r="C11" s="9" t="s">
        <v>858</v>
      </c>
      <c r="D11" s="6"/>
      <c r="E11" s="6" t="n">
        <f aca="false">0</f>
        <v>0</v>
      </c>
      <c r="F11" s="6"/>
      <c r="G11" s="6" t="s">
        <v>125</v>
      </c>
      <c r="H11" s="8" t="n">
        <f aca="false">VLOOKUP(G11,Klausurtage!$A$2:$B$15,2,FALSE())</f>
        <v>46042</v>
      </c>
      <c r="I11" s="6" t="s">
        <v>859</v>
      </c>
      <c r="J11" s="6"/>
      <c r="K11" s="9" t="s">
        <v>860</v>
      </c>
    </row>
    <row r="12" customFormat="false" ht="26.85" hidden="false" customHeight="false" outlineLevel="0" collapsed="false">
      <c r="A12" s="6" t="s">
        <v>861</v>
      </c>
      <c r="B12" s="6" t="s">
        <v>862</v>
      </c>
      <c r="C12" s="9" t="s">
        <v>863</v>
      </c>
      <c r="D12" s="6"/>
      <c r="E12" s="6" t="n">
        <f aca="false">0</f>
        <v>0</v>
      </c>
      <c r="F12" s="6"/>
      <c r="G12" s="6" t="s">
        <v>113</v>
      </c>
      <c r="H12" s="8" t="n">
        <f aca="false">VLOOKUP(G12,Klausurtage!$A$2:$B$15,2,FALSE())</f>
        <v>46049</v>
      </c>
      <c r="I12" s="6" t="s">
        <v>244</v>
      </c>
      <c r="J12" s="6"/>
      <c r="K12" s="9" t="s">
        <v>864</v>
      </c>
    </row>
    <row r="13" customFormat="false" ht="45" hidden="false" customHeight="true" outlineLevel="0" collapsed="false">
      <c r="A13" s="6" t="s">
        <v>11</v>
      </c>
      <c r="B13" s="6" t="s">
        <v>865</v>
      </c>
      <c r="C13" s="9" t="s">
        <v>866</v>
      </c>
      <c r="D13" s="6"/>
      <c r="E13" s="6"/>
      <c r="F13" s="6"/>
      <c r="G13" s="6" t="s">
        <v>79</v>
      </c>
      <c r="H13" s="6" t="s">
        <v>270</v>
      </c>
      <c r="I13" s="6" t="s">
        <v>270</v>
      </c>
      <c r="J13" s="6"/>
      <c r="K13" s="9" t="s">
        <v>151</v>
      </c>
    </row>
    <row r="14" customFormat="false" ht="26.85" hidden="false" customHeight="false" outlineLevel="0" collapsed="false">
      <c r="A14" s="6" t="s">
        <v>861</v>
      </c>
      <c r="B14" s="6" t="s">
        <v>867</v>
      </c>
      <c r="C14" s="6" t="s">
        <v>868</v>
      </c>
      <c r="D14" s="7" t="s">
        <v>869</v>
      </c>
      <c r="E14" s="6" t="n">
        <f aca="false">1+1</f>
        <v>2</v>
      </c>
      <c r="F14" s="6"/>
      <c r="G14" s="6" t="s">
        <v>103</v>
      </c>
      <c r="H14" s="8" t="n">
        <f aca="false">VLOOKUP(G14,Klausurtage!$A$2:$B$15,2,FALSE())</f>
        <v>46044</v>
      </c>
      <c r="I14" s="6" t="s">
        <v>244</v>
      </c>
      <c r="J14" s="6" t="s">
        <v>94</v>
      </c>
      <c r="K14" s="9" t="s">
        <v>870</v>
      </c>
    </row>
    <row r="15" customFormat="false" ht="13.8" hidden="false" customHeight="false" outlineLevel="0" collapsed="false">
      <c r="A15" s="6" t="s">
        <v>861</v>
      </c>
      <c r="B15" s="6" t="s">
        <v>871</v>
      </c>
      <c r="C15" s="6" t="s">
        <v>872</v>
      </c>
      <c r="D15" s="6"/>
      <c r="E15" s="6"/>
      <c r="F15" s="6"/>
      <c r="G15" s="6" t="s">
        <v>79</v>
      </c>
      <c r="H15" s="6" t="s">
        <v>270</v>
      </c>
      <c r="I15" s="6" t="s">
        <v>270</v>
      </c>
      <c r="J15" s="6"/>
      <c r="K15" s="9" t="s">
        <v>83</v>
      </c>
    </row>
    <row r="16" customFormat="false" ht="26.85" hidden="false" customHeight="false" outlineLevel="0" collapsed="false">
      <c r="A16" s="6" t="s">
        <v>11</v>
      </c>
      <c r="B16" s="6" t="s">
        <v>873</v>
      </c>
      <c r="C16" s="6" t="s">
        <v>874</v>
      </c>
      <c r="D16" s="6"/>
      <c r="E16" s="6" t="n">
        <f aca="false">7</f>
        <v>7</v>
      </c>
      <c r="F16" s="6"/>
      <c r="G16" s="6" t="s">
        <v>52</v>
      </c>
      <c r="H16" s="8" t="n">
        <f aca="false">VLOOKUP(G16,Klausurtage!$A$2:$B$15,2,FALSE())</f>
        <v>46045</v>
      </c>
      <c r="I16" s="6" t="s">
        <v>831</v>
      </c>
      <c r="J16" s="6" t="s">
        <v>94</v>
      </c>
      <c r="K16" s="9" t="s">
        <v>875</v>
      </c>
    </row>
    <row r="17" customFormat="false" ht="26.85" hidden="false" customHeight="false" outlineLevel="0" collapsed="false">
      <c r="A17" s="6" t="s">
        <v>11</v>
      </c>
      <c r="B17" s="6" t="s">
        <v>876</v>
      </c>
      <c r="C17" s="6" t="s">
        <v>877</v>
      </c>
      <c r="D17" s="6"/>
      <c r="E17" s="6" t="n">
        <f aca="false">23</f>
        <v>23</v>
      </c>
      <c r="F17" s="6"/>
      <c r="G17" s="6" t="s">
        <v>65</v>
      </c>
      <c r="H17" s="8" t="n">
        <f aca="false">VLOOKUP(G17,Klausurtage!$A$2:$B$15,2,FALSE())</f>
        <v>46050</v>
      </c>
      <c r="I17" s="6" t="s">
        <v>251</v>
      </c>
      <c r="J17" s="6" t="s">
        <v>627</v>
      </c>
      <c r="K17" s="9" t="s">
        <v>878</v>
      </c>
    </row>
    <row r="18" customFormat="false" ht="52.2" hidden="false" customHeight="false" outlineLevel="0" collapsed="false">
      <c r="A18" s="6" t="s">
        <v>497</v>
      </c>
      <c r="B18" s="6" t="s">
        <v>879</v>
      </c>
      <c r="C18" s="9" t="s">
        <v>880</v>
      </c>
      <c r="D18" s="6"/>
      <c r="E18" s="6"/>
      <c r="F18" s="6"/>
      <c r="G18" s="6" t="s">
        <v>79</v>
      </c>
      <c r="H18" s="6" t="s">
        <v>270</v>
      </c>
      <c r="I18" s="6" t="s">
        <v>270</v>
      </c>
      <c r="J18" s="6"/>
      <c r="K18" s="9" t="s">
        <v>881</v>
      </c>
    </row>
    <row r="19" customFormat="false" ht="26.85" hidden="false" customHeight="false" outlineLevel="0" collapsed="false">
      <c r="A19" s="6" t="s">
        <v>497</v>
      </c>
      <c r="B19" s="6" t="s">
        <v>882</v>
      </c>
      <c r="C19" s="9" t="s">
        <v>883</v>
      </c>
      <c r="D19" s="6"/>
      <c r="E19" s="6"/>
      <c r="F19" s="6"/>
      <c r="G19" s="6" t="s">
        <v>79</v>
      </c>
      <c r="H19" s="6" t="s">
        <v>270</v>
      </c>
      <c r="I19" s="6" t="s">
        <v>270</v>
      </c>
      <c r="J19" s="6"/>
      <c r="K19" s="9" t="s">
        <v>884</v>
      </c>
    </row>
    <row r="20" customFormat="false" ht="14.15" hidden="false" customHeight="false" outlineLevel="0" collapsed="false">
      <c r="A20" s="6" t="s">
        <v>497</v>
      </c>
      <c r="B20" s="6" t="s">
        <v>885</v>
      </c>
      <c r="C20" s="9" t="s">
        <v>886</v>
      </c>
      <c r="D20" s="6"/>
      <c r="E20" s="6"/>
      <c r="F20" s="6"/>
      <c r="G20" s="6" t="s">
        <v>79</v>
      </c>
      <c r="H20" s="6" t="s">
        <v>270</v>
      </c>
      <c r="I20" s="6" t="s">
        <v>270</v>
      </c>
      <c r="J20" s="6"/>
      <c r="K20" s="9" t="s">
        <v>887</v>
      </c>
    </row>
    <row r="21" customFormat="false" ht="14.15" hidden="false" customHeight="false" outlineLevel="0" collapsed="false">
      <c r="A21" s="6" t="s">
        <v>11</v>
      </c>
      <c r="B21" s="6" t="s">
        <v>888</v>
      </c>
      <c r="C21" s="9" t="s">
        <v>889</v>
      </c>
      <c r="D21" s="6"/>
      <c r="E21" s="6"/>
      <c r="F21" s="6"/>
      <c r="G21" s="6" t="s">
        <v>79</v>
      </c>
      <c r="H21" s="6" t="s">
        <v>890</v>
      </c>
      <c r="I21" s="6" t="s">
        <v>270</v>
      </c>
      <c r="J21" s="6"/>
      <c r="K21" s="9" t="s">
        <v>177</v>
      </c>
    </row>
    <row r="22" customFormat="false" ht="14.15" hidden="false" customHeight="false" outlineLevel="0" collapsed="false">
      <c r="A22" s="6" t="s">
        <v>11</v>
      </c>
      <c r="B22" s="6" t="s">
        <v>891</v>
      </c>
      <c r="C22" s="9" t="s">
        <v>892</v>
      </c>
      <c r="D22" s="6"/>
      <c r="E22" s="6"/>
      <c r="F22" s="6"/>
      <c r="G22" s="6" t="s">
        <v>79</v>
      </c>
      <c r="H22" s="6" t="s">
        <v>270</v>
      </c>
      <c r="I22" s="6" t="s">
        <v>270</v>
      </c>
      <c r="J22" s="6"/>
      <c r="K22" s="9" t="s">
        <v>893</v>
      </c>
    </row>
    <row r="23" customFormat="false" ht="14.15" hidden="false" customHeight="false" outlineLevel="0" collapsed="false">
      <c r="A23" s="6" t="s">
        <v>11</v>
      </c>
      <c r="B23" s="6" t="s">
        <v>894</v>
      </c>
      <c r="C23" s="9" t="s">
        <v>895</v>
      </c>
      <c r="D23" s="6"/>
      <c r="E23" s="6"/>
      <c r="F23" s="6"/>
      <c r="G23" s="6" t="s">
        <v>79</v>
      </c>
      <c r="H23" s="6" t="s">
        <v>270</v>
      </c>
      <c r="I23" s="6" t="s">
        <v>270</v>
      </c>
      <c r="J23" s="6"/>
      <c r="K23" s="9" t="s">
        <v>474</v>
      </c>
    </row>
    <row r="24" customFormat="false" ht="14.15" hidden="false" customHeight="false" outlineLevel="0" collapsed="false">
      <c r="A24" s="6" t="s">
        <v>497</v>
      </c>
      <c r="B24" s="6" t="s">
        <v>896</v>
      </c>
      <c r="C24" s="9" t="s">
        <v>897</v>
      </c>
      <c r="D24" s="6"/>
      <c r="E24" s="6"/>
      <c r="F24" s="6"/>
      <c r="G24" s="6" t="s">
        <v>79</v>
      </c>
      <c r="H24" s="6" t="s">
        <v>270</v>
      </c>
      <c r="I24" s="6" t="s">
        <v>270</v>
      </c>
      <c r="J24" s="6"/>
      <c r="K24" s="9" t="s">
        <v>898</v>
      </c>
    </row>
    <row r="25" customFormat="false" ht="26.85" hidden="false" customHeight="false" outlineLevel="0" collapsed="false">
      <c r="A25" s="6" t="s">
        <v>11</v>
      </c>
      <c r="B25" s="6" t="s">
        <v>899</v>
      </c>
      <c r="C25" s="9" t="s">
        <v>900</v>
      </c>
      <c r="D25" s="6"/>
      <c r="E25" s="6"/>
      <c r="F25" s="6"/>
      <c r="G25" s="6" t="s">
        <v>103</v>
      </c>
      <c r="H25" s="8" t="n">
        <f aca="false">VLOOKUP(G25,Klausurtage!$A$2:$B$15,2,FALSE())</f>
        <v>46044</v>
      </c>
      <c r="I25" s="6" t="s">
        <v>901</v>
      </c>
      <c r="J25" s="6" t="s">
        <v>519</v>
      </c>
      <c r="K25" s="9" t="s">
        <v>902</v>
      </c>
    </row>
    <row r="26" customFormat="false" ht="26.85" hidden="false" customHeight="false" outlineLevel="0" collapsed="false">
      <c r="A26" s="6" t="s">
        <v>11</v>
      </c>
      <c r="B26" s="6" t="s">
        <v>899</v>
      </c>
      <c r="C26" s="9" t="s">
        <v>900</v>
      </c>
      <c r="D26" s="6"/>
      <c r="E26" s="6"/>
      <c r="F26" s="6"/>
      <c r="G26" s="6" t="s">
        <v>52</v>
      </c>
      <c r="H26" s="8" t="n">
        <f aca="false">VLOOKUP(G26,Klausurtage!$A$2:$B$15,2,FALSE())</f>
        <v>46045</v>
      </c>
      <c r="I26" s="6" t="s">
        <v>901</v>
      </c>
      <c r="J26" s="6" t="s">
        <v>171</v>
      </c>
      <c r="K26" s="9" t="s">
        <v>902</v>
      </c>
    </row>
    <row r="27" customFormat="false" ht="26.85" hidden="false" customHeight="false" outlineLevel="0" collapsed="false">
      <c r="A27" s="6" t="s">
        <v>11</v>
      </c>
      <c r="B27" s="6" t="s">
        <v>903</v>
      </c>
      <c r="C27" s="9" t="s">
        <v>904</v>
      </c>
      <c r="D27" s="6"/>
      <c r="E27" s="6"/>
      <c r="F27" s="6"/>
      <c r="G27" s="6" t="s">
        <v>79</v>
      </c>
      <c r="H27" s="6" t="s">
        <v>270</v>
      </c>
      <c r="I27" s="6" t="s">
        <v>270</v>
      </c>
      <c r="J27" s="6"/>
      <c r="K27" s="9" t="s">
        <v>905</v>
      </c>
    </row>
    <row r="28" customFormat="false" ht="26.85" hidden="false" customHeight="false" outlineLevel="0" collapsed="false">
      <c r="A28" s="6" t="s">
        <v>497</v>
      </c>
      <c r="B28" s="6" t="s">
        <v>906</v>
      </c>
      <c r="C28" s="9" t="s">
        <v>907</v>
      </c>
      <c r="D28" s="6"/>
      <c r="E28" s="6"/>
      <c r="F28" s="6"/>
      <c r="G28" s="6" t="s">
        <v>79</v>
      </c>
      <c r="H28" s="6" t="s">
        <v>270</v>
      </c>
      <c r="I28" s="6" t="s">
        <v>270</v>
      </c>
      <c r="J28" s="6"/>
      <c r="K28" s="6" t="s">
        <v>908</v>
      </c>
    </row>
    <row r="29" customFormat="false" ht="13.8" hidden="false" customHeight="false" outlineLevel="0" collapsed="false">
      <c r="A29" s="6" t="s">
        <v>497</v>
      </c>
      <c r="B29" s="6" t="s">
        <v>909</v>
      </c>
      <c r="C29" s="9" t="s">
        <v>910</v>
      </c>
      <c r="D29" s="6"/>
      <c r="E29" s="6" t="n">
        <f aca="false">0</f>
        <v>0</v>
      </c>
      <c r="F29" s="6"/>
      <c r="G29" s="6" t="s">
        <v>40</v>
      </c>
      <c r="H29" s="8" t="n">
        <f aca="false">VLOOKUP(G29,Klausurtage!$A$2:$B$15,2,FALSE())</f>
        <v>46043</v>
      </c>
      <c r="I29" s="6" t="s">
        <v>911</v>
      </c>
      <c r="J29" s="6"/>
      <c r="K29" s="6" t="s">
        <v>912</v>
      </c>
    </row>
    <row r="30" customFormat="false" ht="26.85" hidden="false" customHeight="false" outlineLevel="0" collapsed="false">
      <c r="A30" s="6" t="s">
        <v>497</v>
      </c>
      <c r="B30" s="6" t="s">
        <v>913</v>
      </c>
      <c r="C30" s="9" t="s">
        <v>914</v>
      </c>
      <c r="D30" s="6"/>
      <c r="E30" s="6" t="n">
        <f aca="false">1</f>
        <v>1</v>
      </c>
      <c r="F30" s="6"/>
      <c r="G30" s="6" t="s">
        <v>27</v>
      </c>
      <c r="H30" s="8" t="n">
        <f aca="false">VLOOKUP(G30,Klausurtage!$A$2:$B$15,2,FALSE())</f>
        <v>46048</v>
      </c>
      <c r="I30" s="6" t="s">
        <v>244</v>
      </c>
      <c r="J30" s="6" t="s">
        <v>94</v>
      </c>
      <c r="K30" s="9" t="s">
        <v>915</v>
      </c>
    </row>
    <row r="31" customFormat="false" ht="13.8" hidden="false" customHeight="false" outlineLevel="0" collapsed="false">
      <c r="A31" s="6" t="s">
        <v>11</v>
      </c>
      <c r="B31" s="6" t="s">
        <v>916</v>
      </c>
      <c r="C31" s="9" t="s">
        <v>917</v>
      </c>
      <c r="D31" s="6"/>
      <c r="E31" s="6"/>
      <c r="F31" s="6"/>
      <c r="G31" s="6" t="s">
        <v>79</v>
      </c>
      <c r="H31" s="6" t="s">
        <v>270</v>
      </c>
      <c r="I31" s="6" t="s">
        <v>270</v>
      </c>
      <c r="J31" s="6"/>
      <c r="K31" s="9" t="s">
        <v>148</v>
      </c>
    </row>
    <row r="32" customFormat="false" ht="13.8" hidden="false" customHeight="false" outlineLevel="0" collapsed="false">
      <c r="A32" s="6" t="s">
        <v>11</v>
      </c>
      <c r="B32" s="6" t="s">
        <v>918</v>
      </c>
      <c r="C32" s="9" t="s">
        <v>919</v>
      </c>
      <c r="D32" s="6"/>
      <c r="E32" s="6"/>
      <c r="F32" s="28" t="n">
        <v>0.1</v>
      </c>
      <c r="G32" s="6" t="s">
        <v>79</v>
      </c>
      <c r="H32" s="6" t="s">
        <v>920</v>
      </c>
      <c r="I32" s="6" t="s">
        <v>270</v>
      </c>
      <c r="J32" s="6"/>
      <c r="K32" s="9" t="s">
        <v>921</v>
      </c>
    </row>
    <row r="33" customFormat="false" ht="13.8" hidden="false" customHeight="false" outlineLevel="0" collapsed="false">
      <c r="A33" s="6" t="s">
        <v>11</v>
      </c>
      <c r="B33" s="6" t="s">
        <v>922</v>
      </c>
      <c r="C33" s="9" t="s">
        <v>923</v>
      </c>
      <c r="D33" s="6"/>
      <c r="E33" s="6"/>
      <c r="F33" s="6"/>
      <c r="G33" s="6" t="s">
        <v>79</v>
      </c>
      <c r="H33" s="6" t="s">
        <v>270</v>
      </c>
      <c r="I33" s="6" t="s">
        <v>270</v>
      </c>
      <c r="J33" s="6"/>
      <c r="K33" s="9" t="s">
        <v>924</v>
      </c>
    </row>
    <row r="34" customFormat="false" ht="13.8" hidden="false" customHeight="false" outlineLevel="0" collapsed="false">
      <c r="A34" s="6" t="s">
        <v>497</v>
      </c>
      <c r="B34" s="6" t="s">
        <v>925</v>
      </c>
      <c r="C34" s="9" t="s">
        <v>926</v>
      </c>
      <c r="D34" s="6"/>
      <c r="E34" s="6" t="n">
        <v>1</v>
      </c>
      <c r="F34" s="6"/>
      <c r="G34" s="6" t="s">
        <v>79</v>
      </c>
      <c r="H34" s="6" t="s">
        <v>270</v>
      </c>
      <c r="I34" s="6" t="s">
        <v>270</v>
      </c>
      <c r="J34" s="6"/>
      <c r="K34" s="9" t="s">
        <v>599</v>
      </c>
    </row>
    <row r="35" customFormat="false" ht="26.85" hidden="false" customHeight="false" outlineLevel="0" collapsed="false">
      <c r="A35" s="6" t="s">
        <v>497</v>
      </c>
      <c r="B35" s="6" t="s">
        <v>927</v>
      </c>
      <c r="C35" s="9" t="s">
        <v>928</v>
      </c>
      <c r="D35" s="6"/>
      <c r="E35" s="6"/>
      <c r="F35" s="6"/>
      <c r="G35" s="6" t="s">
        <v>79</v>
      </c>
      <c r="H35" s="6" t="s">
        <v>270</v>
      </c>
      <c r="I35" s="6" t="s">
        <v>270</v>
      </c>
      <c r="J35" s="6"/>
      <c r="K35" s="9" t="s">
        <v>929</v>
      </c>
    </row>
    <row r="36" customFormat="false" ht="13.8" hidden="false" customHeight="false" outlineLevel="0" collapsed="false">
      <c r="A36" s="6" t="s">
        <v>497</v>
      </c>
      <c r="B36" s="6" t="s">
        <v>930</v>
      </c>
      <c r="C36" s="9" t="s">
        <v>931</v>
      </c>
      <c r="D36" s="6"/>
      <c r="E36" s="6"/>
      <c r="F36" s="6"/>
      <c r="G36" s="6" t="s">
        <v>79</v>
      </c>
      <c r="H36" s="6" t="s">
        <v>270</v>
      </c>
      <c r="I36" s="6" t="s">
        <v>270</v>
      </c>
      <c r="J36" s="6"/>
      <c r="K36" s="9" t="s">
        <v>932</v>
      </c>
    </row>
    <row r="37" customFormat="false" ht="13.8" hidden="false" customHeight="false" outlineLevel="0" collapsed="false">
      <c r="A37" s="6" t="s">
        <v>11</v>
      </c>
      <c r="B37" s="6" t="s">
        <v>933</v>
      </c>
      <c r="C37" s="9" t="s">
        <v>934</v>
      </c>
      <c r="D37" s="6" t="s">
        <v>935</v>
      </c>
      <c r="E37" s="6"/>
      <c r="F37" s="6"/>
      <c r="G37" s="6" t="s">
        <v>79</v>
      </c>
      <c r="H37" s="6" t="s">
        <v>270</v>
      </c>
      <c r="I37" s="6" t="s">
        <v>270</v>
      </c>
      <c r="J37" s="6"/>
      <c r="K37" s="9" t="s">
        <v>140</v>
      </c>
    </row>
    <row r="38" customFormat="false" ht="13.8" hidden="false" customHeight="false" outlineLevel="0" collapsed="false">
      <c r="A38" s="6" t="s">
        <v>11</v>
      </c>
      <c r="B38" s="6" t="s">
        <v>936</v>
      </c>
      <c r="C38" s="9" t="s">
        <v>937</v>
      </c>
      <c r="D38" s="6"/>
      <c r="E38" s="6"/>
      <c r="F38" s="28" t="n">
        <v>0.5</v>
      </c>
      <c r="G38" s="6" t="s">
        <v>79</v>
      </c>
      <c r="H38" s="6" t="s">
        <v>938</v>
      </c>
      <c r="I38" s="6" t="s">
        <v>270</v>
      </c>
      <c r="J38" s="6"/>
      <c r="K38" s="9" t="s">
        <v>159</v>
      </c>
    </row>
    <row r="39" customFormat="false" ht="26.85" hidden="false" customHeight="false" outlineLevel="0" collapsed="false">
      <c r="A39" s="6" t="s">
        <v>497</v>
      </c>
      <c r="B39" s="6" t="s">
        <v>699</v>
      </c>
      <c r="C39" s="9" t="s">
        <v>939</v>
      </c>
      <c r="D39" s="6" t="s">
        <v>697</v>
      </c>
      <c r="E39" s="6"/>
      <c r="F39" s="6"/>
      <c r="G39" s="6" t="s">
        <v>79</v>
      </c>
      <c r="H39" s="6" t="s">
        <v>270</v>
      </c>
      <c r="I39" s="6" t="s">
        <v>270</v>
      </c>
      <c r="J39" s="6"/>
      <c r="K39" s="9" t="s">
        <v>940</v>
      </c>
    </row>
    <row r="40" customFormat="false" ht="39.55" hidden="false" customHeight="false" outlineLevel="0" collapsed="false">
      <c r="A40" s="6" t="s">
        <v>11</v>
      </c>
      <c r="B40" s="6" t="s">
        <v>941</v>
      </c>
      <c r="C40" s="9" t="s">
        <v>942</v>
      </c>
      <c r="D40" s="6"/>
      <c r="E40" s="6"/>
      <c r="F40" s="6"/>
      <c r="G40" s="6" t="s">
        <v>79</v>
      </c>
      <c r="H40" s="6" t="s">
        <v>270</v>
      </c>
      <c r="I40" s="6" t="s">
        <v>270</v>
      </c>
      <c r="J40" s="6"/>
      <c r="K40" s="9" t="s">
        <v>325</v>
      </c>
    </row>
    <row r="41" customFormat="false" ht="26.85" hidden="false" customHeight="false" outlineLevel="0" collapsed="false">
      <c r="A41" s="6" t="s">
        <v>11</v>
      </c>
      <c r="B41" s="6" t="s">
        <v>943</v>
      </c>
      <c r="C41" s="9" t="s">
        <v>944</v>
      </c>
      <c r="D41" s="6"/>
      <c r="E41" s="6"/>
      <c r="F41" s="6"/>
      <c r="G41" s="6" t="s">
        <v>79</v>
      </c>
      <c r="H41" s="6" t="s">
        <v>270</v>
      </c>
      <c r="I41" s="6" t="s">
        <v>270</v>
      </c>
      <c r="J41" s="6"/>
      <c r="K41" s="9" t="s">
        <v>945</v>
      </c>
    </row>
    <row r="42" customFormat="false" ht="26.85" hidden="false" customHeight="false" outlineLevel="0" collapsed="false">
      <c r="A42" s="6" t="s">
        <v>11</v>
      </c>
      <c r="B42" s="6" t="s">
        <v>946</v>
      </c>
      <c r="C42" s="9" t="s">
        <v>947</v>
      </c>
      <c r="D42" s="6"/>
      <c r="E42" s="6" t="n">
        <f aca="false">23</f>
        <v>23</v>
      </c>
      <c r="F42" s="6"/>
      <c r="G42" s="6" t="s">
        <v>324</v>
      </c>
      <c r="H42" s="8" t="n">
        <f aca="false">VLOOKUP(G42,Klausurtage!$A$2:$B$15,2,FALSE())</f>
        <v>46052</v>
      </c>
      <c r="I42" s="6" t="s">
        <v>28</v>
      </c>
      <c r="J42" s="6" t="s">
        <v>282</v>
      </c>
      <c r="K42" s="9" t="s">
        <v>74</v>
      </c>
    </row>
    <row r="43" customFormat="false" ht="26.85" hidden="false" customHeight="false" outlineLevel="0" collapsed="false">
      <c r="A43" s="6" t="s">
        <v>11</v>
      </c>
      <c r="B43" s="6" t="s">
        <v>948</v>
      </c>
      <c r="C43" s="9" t="s">
        <v>949</v>
      </c>
      <c r="D43" s="6"/>
      <c r="E43" s="6" t="n">
        <v>19</v>
      </c>
      <c r="F43" s="6"/>
      <c r="G43" s="6" t="s">
        <v>52</v>
      </c>
      <c r="H43" s="8" t="n">
        <f aca="false">VLOOKUP(G43,Klausurtage!$A$2:$B$15,2,FALSE())</f>
        <v>46045</v>
      </c>
      <c r="I43" s="6" t="s">
        <v>244</v>
      </c>
      <c r="J43" s="6" t="s">
        <v>282</v>
      </c>
      <c r="K43" s="9" t="s">
        <v>950</v>
      </c>
    </row>
    <row r="44" customFormat="false" ht="26.85" hidden="false" customHeight="false" outlineLevel="0" collapsed="false">
      <c r="A44" s="6" t="s">
        <v>11</v>
      </c>
      <c r="B44" s="6" t="s">
        <v>948</v>
      </c>
      <c r="C44" s="9" t="s">
        <v>951</v>
      </c>
      <c r="D44" s="6"/>
      <c r="E44" s="6" t="n">
        <v>11</v>
      </c>
      <c r="F44" s="6"/>
      <c r="G44" s="6" t="s">
        <v>52</v>
      </c>
      <c r="H44" s="8" t="n">
        <f aca="false">VLOOKUP(G44,Klausurtage!$A$2:$B$15,2,FALSE())</f>
        <v>46045</v>
      </c>
      <c r="I44" s="6" t="s">
        <v>952</v>
      </c>
      <c r="J44" s="6" t="s">
        <v>953</v>
      </c>
      <c r="K44" s="9" t="s">
        <v>950</v>
      </c>
    </row>
    <row r="45" customFormat="false" ht="13.8" hidden="false" customHeight="false" outlineLevel="0" collapsed="false">
      <c r="A45" s="6" t="s">
        <v>11</v>
      </c>
      <c r="B45" s="6" t="s">
        <v>954</v>
      </c>
      <c r="C45" s="9" t="s">
        <v>955</v>
      </c>
      <c r="D45" s="6"/>
      <c r="E45" s="6"/>
      <c r="F45" s="6"/>
      <c r="G45" s="6" t="s">
        <v>79</v>
      </c>
      <c r="H45" s="6" t="s">
        <v>270</v>
      </c>
      <c r="I45" s="6" t="s">
        <v>270</v>
      </c>
      <c r="J45" s="6"/>
      <c r="K45" s="9" t="s">
        <v>932</v>
      </c>
    </row>
    <row r="46" customFormat="false" ht="13.8" hidden="false" customHeight="false" outlineLevel="0" collapsed="false">
      <c r="A46" s="6" t="s">
        <v>11</v>
      </c>
      <c r="B46" s="6" t="s">
        <v>956</v>
      </c>
      <c r="C46" s="9" t="s">
        <v>957</v>
      </c>
      <c r="D46" s="6"/>
      <c r="E46" s="6" t="n">
        <f aca="false">17</f>
        <v>17</v>
      </c>
      <c r="F46" s="6"/>
      <c r="G46" s="6" t="s">
        <v>324</v>
      </c>
      <c r="H46" s="8" t="n">
        <f aca="false">VLOOKUP(G46,Klausurtage!$A$2:$B$15,2,FALSE())</f>
        <v>46052</v>
      </c>
      <c r="I46" s="6" t="s">
        <v>244</v>
      </c>
      <c r="J46" s="6" t="s">
        <v>282</v>
      </c>
      <c r="K46" s="9" t="s">
        <v>207</v>
      </c>
    </row>
    <row r="47" customFormat="false" ht="26.85" hidden="false" customHeight="false" outlineLevel="0" collapsed="false">
      <c r="A47" s="6" t="s">
        <v>11</v>
      </c>
      <c r="B47" s="6" t="s">
        <v>958</v>
      </c>
      <c r="C47" s="9" t="s">
        <v>959</v>
      </c>
      <c r="D47" s="6"/>
      <c r="E47" s="6" t="n">
        <f aca="false">0</f>
        <v>0</v>
      </c>
      <c r="F47" s="6"/>
      <c r="G47" s="6" t="s">
        <v>324</v>
      </c>
      <c r="H47" s="8" t="n">
        <f aca="false">VLOOKUP(G47,Klausurtage!$A$2:$B$15,2,FALSE())</f>
        <v>46052</v>
      </c>
      <c r="I47" s="6" t="s">
        <v>960</v>
      </c>
      <c r="J47" s="6"/>
      <c r="K47" s="9" t="s">
        <v>203</v>
      </c>
    </row>
    <row r="48" customFormat="false" ht="26.85" hidden="false" customHeight="false" outlineLevel="0" collapsed="false">
      <c r="A48" s="6" t="s">
        <v>497</v>
      </c>
      <c r="B48" s="6" t="s">
        <v>961</v>
      </c>
      <c r="C48" s="9" t="s">
        <v>962</v>
      </c>
      <c r="D48" s="6"/>
      <c r="E48" s="6"/>
      <c r="F48" s="6"/>
      <c r="G48" s="6" t="s">
        <v>79</v>
      </c>
      <c r="H48" s="6" t="s">
        <v>270</v>
      </c>
      <c r="I48" s="6" t="s">
        <v>270</v>
      </c>
      <c r="J48" s="6"/>
      <c r="K48" s="9" t="s">
        <v>963</v>
      </c>
    </row>
    <row r="49" customFormat="false" ht="14.15" hidden="false" customHeight="false" outlineLevel="0" collapsed="false">
      <c r="A49" s="6" t="s">
        <v>11</v>
      </c>
      <c r="B49" s="6" t="s">
        <v>964</v>
      </c>
      <c r="C49" s="9" t="s">
        <v>965</v>
      </c>
      <c r="D49" s="6"/>
      <c r="E49" s="6"/>
      <c r="F49" s="6"/>
      <c r="G49" s="6" t="s">
        <v>79</v>
      </c>
      <c r="H49" s="6" t="s">
        <v>270</v>
      </c>
      <c r="I49" s="6" t="s">
        <v>270</v>
      </c>
      <c r="J49" s="6"/>
      <c r="K49" s="9" t="s">
        <v>155</v>
      </c>
    </row>
    <row r="50" customFormat="false" ht="14.15" hidden="false" customHeight="false" outlineLevel="0" collapsed="false">
      <c r="A50" s="6" t="s">
        <v>497</v>
      </c>
      <c r="B50" s="6" t="s">
        <v>966</v>
      </c>
      <c r="C50" s="9" t="s">
        <v>967</v>
      </c>
      <c r="D50" s="6"/>
      <c r="E50" s="6" t="n">
        <f aca="false">2</f>
        <v>2</v>
      </c>
      <c r="F50" s="6"/>
      <c r="G50" s="6" t="s">
        <v>65</v>
      </c>
      <c r="H50" s="8" t="n">
        <f aca="false">VLOOKUP(G50,Klausurtage!$A$2:$B$15,2,FALSE())</f>
        <v>46050</v>
      </c>
      <c r="I50" s="8" t="s">
        <v>244</v>
      </c>
      <c r="J50" s="8" t="s">
        <v>94</v>
      </c>
      <c r="K50" s="9" t="s">
        <v>207</v>
      </c>
    </row>
    <row r="51" customFormat="false" ht="14.15" hidden="false" customHeight="false" outlineLevel="0" collapsed="false">
      <c r="A51" s="6" t="s">
        <v>497</v>
      </c>
      <c r="B51" s="6" t="s">
        <v>968</v>
      </c>
      <c r="C51" s="9" t="s">
        <v>969</v>
      </c>
      <c r="D51" s="6"/>
      <c r="E51" s="6"/>
      <c r="F51" s="6"/>
      <c r="G51" s="6" t="s">
        <v>79</v>
      </c>
      <c r="H51" s="6" t="s">
        <v>270</v>
      </c>
      <c r="I51" s="6" t="s">
        <v>270</v>
      </c>
      <c r="J51" s="6"/>
      <c r="K51" s="9" t="s">
        <v>921</v>
      </c>
    </row>
    <row r="52" customFormat="false" ht="14.15" hidden="false" customHeight="false" outlineLevel="0" collapsed="false">
      <c r="A52" s="6" t="s">
        <v>497</v>
      </c>
      <c r="B52" s="6" t="s">
        <v>970</v>
      </c>
      <c r="C52" s="9" t="s">
        <v>971</v>
      </c>
      <c r="D52" s="6"/>
      <c r="E52" s="6"/>
      <c r="F52" s="6"/>
      <c r="G52" s="6" t="s">
        <v>79</v>
      </c>
      <c r="H52" s="6" t="s">
        <v>270</v>
      </c>
      <c r="I52" s="6" t="s">
        <v>270</v>
      </c>
      <c r="J52" s="6"/>
      <c r="K52" s="9" t="s">
        <v>972</v>
      </c>
    </row>
    <row r="53" customFormat="false" ht="26.85" hidden="false" customHeight="false" outlineLevel="0" collapsed="false">
      <c r="A53" s="6" t="s">
        <v>11</v>
      </c>
      <c r="B53" s="6" t="s">
        <v>973</v>
      </c>
      <c r="C53" s="9" t="s">
        <v>974</v>
      </c>
      <c r="D53" s="6"/>
      <c r="E53" s="6" t="n">
        <f aca="false">25</f>
        <v>25</v>
      </c>
      <c r="F53" s="6"/>
      <c r="G53" s="6" t="s">
        <v>125</v>
      </c>
      <c r="H53" s="8" t="n">
        <f aca="false">VLOOKUP(G53,Klausurtage!$A$2:$B$15,2,FALSE())</f>
        <v>46042</v>
      </c>
      <c r="I53" s="6" t="s">
        <v>975</v>
      </c>
      <c r="J53" s="6" t="s">
        <v>338</v>
      </c>
      <c r="K53" s="9" t="s">
        <v>976</v>
      </c>
    </row>
    <row r="54" customFormat="false" ht="13.8" hidden="false" customHeight="false" outlineLevel="0" collapsed="false">
      <c r="A54" s="6" t="s">
        <v>11</v>
      </c>
      <c r="B54" s="6" t="s">
        <v>977</v>
      </c>
      <c r="C54" s="6" t="s">
        <v>978</v>
      </c>
      <c r="D54" s="6"/>
      <c r="E54" s="6" t="n">
        <f aca="false">17</f>
        <v>17</v>
      </c>
      <c r="F54" s="6"/>
      <c r="G54" s="6" t="s">
        <v>88</v>
      </c>
      <c r="H54" s="8" t="n">
        <f aca="false">VLOOKUP(G54,Klausurtage!$A$2:$B$15,2,FALSE())</f>
        <v>46051</v>
      </c>
      <c r="I54" s="6" t="s">
        <v>351</v>
      </c>
      <c r="J54" s="6" t="s">
        <v>171</v>
      </c>
      <c r="K54" s="9" t="s">
        <v>81</v>
      </c>
    </row>
    <row r="55" customFormat="false" ht="26.85" hidden="false" customHeight="false" outlineLevel="0" collapsed="false">
      <c r="A55" s="6" t="s">
        <v>497</v>
      </c>
      <c r="B55" s="6" t="s">
        <v>979</v>
      </c>
      <c r="C55" s="9" t="s">
        <v>980</v>
      </c>
      <c r="D55" s="6"/>
      <c r="E55" s="6" t="n">
        <f aca="false">3</f>
        <v>3</v>
      </c>
      <c r="F55" s="6"/>
      <c r="G55" s="6" t="s">
        <v>40</v>
      </c>
      <c r="H55" s="8" t="n">
        <f aca="false">VLOOKUP(G55,Klausurtage!$A$2:$B$15,2,FALSE())</f>
        <v>46043</v>
      </c>
      <c r="I55" s="6" t="s">
        <v>351</v>
      </c>
      <c r="J55" s="6" t="s">
        <v>94</v>
      </c>
      <c r="K55" s="9" t="s">
        <v>981</v>
      </c>
    </row>
    <row r="56" customFormat="false" ht="13.8" hidden="false" customHeight="false" outlineLevel="0" collapsed="false">
      <c r="A56" s="6" t="s">
        <v>497</v>
      </c>
      <c r="B56" s="6" t="s">
        <v>982</v>
      </c>
      <c r="C56" s="6" t="s">
        <v>983</v>
      </c>
      <c r="D56" s="6"/>
      <c r="E56" s="6" t="n">
        <f aca="false">1</f>
        <v>1</v>
      </c>
      <c r="F56" s="6"/>
      <c r="G56" s="6" t="s">
        <v>125</v>
      </c>
      <c r="H56" s="8" t="n">
        <f aca="false">VLOOKUP(G56,Klausurtage!$A$2:$B$15,2,FALSE())</f>
        <v>46042</v>
      </c>
      <c r="I56" s="6" t="s">
        <v>984</v>
      </c>
      <c r="J56" s="6" t="s">
        <v>94</v>
      </c>
      <c r="K56" s="9" t="s">
        <v>200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ABAB"/>
    <pageSetUpPr fitToPage="false"/>
  </sheetPr>
  <dimension ref="A1:K1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3.8" zeroHeight="false" outlineLevelRow="0" outlineLevelCol="0"/>
  <cols>
    <col collapsed="false" customWidth="true" hidden="false" outlineLevel="0" max="1" min="1" style="1" width="10.44"/>
    <col collapsed="false" customWidth="true" hidden="false" outlineLevel="0" max="2" min="2" style="1" width="54.56"/>
    <col collapsed="false" customWidth="true" hidden="false" outlineLevel="0" max="3" min="3" style="1" width="34.11"/>
    <col collapsed="false" customWidth="true" hidden="false" outlineLevel="0" max="4" min="4" style="1" width="11.67"/>
    <col collapsed="false" customWidth="true" hidden="false" outlineLevel="0" max="5" min="5" style="1" width="12.11"/>
    <col collapsed="false" customWidth="true" hidden="false" outlineLevel="0" max="6" min="6" style="1" width="14.56"/>
    <col collapsed="false" customWidth="true" hidden="false" outlineLevel="0" max="7" min="7" style="1" width="14.34"/>
    <col collapsed="false" customWidth="true" hidden="false" outlineLevel="0" max="8" min="8" style="2" width="13.66"/>
    <col collapsed="false" customWidth="true" hidden="false" outlineLevel="0" max="9" min="9" style="1" width="16.11"/>
    <col collapsed="false" customWidth="true" hidden="false" outlineLevel="0" max="10" min="10" style="1" width="15.33"/>
    <col collapsed="false" customWidth="true" hidden="false" outlineLevel="0" max="11" min="11" style="1" width="44.67"/>
    <col collapsed="false" customWidth="false" hidden="false" outlineLevel="0" max="16384" min="12" style="1" width="11.55"/>
  </cols>
  <sheetData>
    <row r="1" customFormat="false" ht="63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customFormat="false" ht="26.85" hidden="false" customHeight="false" outlineLevel="0" collapsed="false">
      <c r="A2" s="6" t="s">
        <v>497</v>
      </c>
      <c r="B2" s="6" t="s">
        <v>985</v>
      </c>
      <c r="C2" s="9" t="s">
        <v>986</v>
      </c>
      <c r="D2" s="6"/>
      <c r="E2" s="6" t="n">
        <f aca="false">4</f>
        <v>4</v>
      </c>
      <c r="F2" s="6"/>
      <c r="G2" s="6" t="s">
        <v>125</v>
      </c>
      <c r="H2" s="8" t="n">
        <f aca="false">VLOOKUP(G2,Klausurtage!$A$2:$B$15,2,FALSE())</f>
        <v>46042</v>
      </c>
      <c r="I2" s="6" t="s">
        <v>859</v>
      </c>
      <c r="J2" s="6" t="s">
        <v>94</v>
      </c>
      <c r="K2" s="9" t="s">
        <v>987</v>
      </c>
    </row>
    <row r="3" customFormat="false" ht="14.15" hidden="false" customHeight="false" outlineLevel="0" collapsed="false">
      <c r="A3" s="6" t="s">
        <v>497</v>
      </c>
      <c r="B3" s="6" t="s">
        <v>988</v>
      </c>
      <c r="C3" s="6" t="s">
        <v>989</v>
      </c>
      <c r="D3" s="6"/>
      <c r="E3" s="6" t="n">
        <f aca="false">5</f>
        <v>5</v>
      </c>
      <c r="F3" s="6"/>
      <c r="G3" s="6" t="s">
        <v>40</v>
      </c>
      <c r="H3" s="8" t="n">
        <f aca="false">VLOOKUP(G3,Klausurtage!$A$2:$B$15,2,FALSE())</f>
        <v>46043</v>
      </c>
      <c r="I3" s="6" t="s">
        <v>251</v>
      </c>
      <c r="J3" s="6" t="s">
        <v>293</v>
      </c>
      <c r="K3" s="9" t="s">
        <v>990</v>
      </c>
    </row>
    <row r="4" customFormat="false" ht="26.85" hidden="false" customHeight="false" outlineLevel="0" collapsed="false">
      <c r="A4" s="6" t="s">
        <v>497</v>
      </c>
      <c r="B4" s="6" t="s">
        <v>991</v>
      </c>
      <c r="C4" s="9" t="s">
        <v>992</v>
      </c>
      <c r="D4" s="6"/>
      <c r="E4" s="6" t="n">
        <f aca="false">1</f>
        <v>1</v>
      </c>
      <c r="F4" s="6"/>
      <c r="G4" s="6" t="s">
        <v>65</v>
      </c>
      <c r="H4" s="8" t="n">
        <f aca="false">VLOOKUP(G4,Klausurtage!$A$2:$B$15,2,FALSE())</f>
        <v>46050</v>
      </c>
      <c r="I4" s="6" t="s">
        <v>251</v>
      </c>
      <c r="J4" s="6" t="s">
        <v>293</v>
      </c>
      <c r="K4" s="9" t="s">
        <v>993</v>
      </c>
    </row>
    <row r="5" customFormat="false" ht="26.85" hidden="false" customHeight="false" outlineLevel="0" collapsed="false">
      <c r="A5" s="6" t="s">
        <v>497</v>
      </c>
      <c r="B5" s="6" t="s">
        <v>994</v>
      </c>
      <c r="C5" s="9" t="s">
        <v>995</v>
      </c>
      <c r="D5" s="6"/>
      <c r="E5" s="6" t="n">
        <f aca="false">4</f>
        <v>4</v>
      </c>
      <c r="F5" s="6"/>
      <c r="G5" s="6" t="s">
        <v>324</v>
      </c>
      <c r="H5" s="8" t="n">
        <f aca="false">VLOOKUP(G5,Klausurtage!$A$2:$B$15,2,FALSE())</f>
        <v>46052</v>
      </c>
      <c r="I5" s="6" t="s">
        <v>996</v>
      </c>
      <c r="J5" s="6" t="s">
        <v>997</v>
      </c>
      <c r="K5" s="9" t="s">
        <v>998</v>
      </c>
    </row>
    <row r="6" customFormat="false" ht="39.55" hidden="false" customHeight="false" outlineLevel="0" collapsed="false">
      <c r="A6" s="6" t="s">
        <v>497</v>
      </c>
      <c r="B6" s="6" t="s">
        <v>999</v>
      </c>
      <c r="C6" s="9" t="s">
        <v>123</v>
      </c>
      <c r="D6" s="6"/>
      <c r="E6" s="6" t="n">
        <f aca="false">0</f>
        <v>0</v>
      </c>
      <c r="F6" s="6"/>
      <c r="G6" s="6" t="s">
        <v>365</v>
      </c>
      <c r="H6" s="8" t="n">
        <f aca="false">VLOOKUP(G6,Klausurtage!$A$2:$B$15,2,FALSE())</f>
        <v>46046</v>
      </c>
      <c r="I6" s="6" t="s">
        <v>1000</v>
      </c>
      <c r="J6" s="6"/>
      <c r="K6" s="9" t="s">
        <v>1001</v>
      </c>
    </row>
    <row r="7" customFormat="false" ht="14.15" hidden="false" customHeight="false" outlineLevel="0" collapsed="false">
      <c r="A7" s="6" t="s">
        <v>497</v>
      </c>
      <c r="B7" s="6" t="s">
        <v>1002</v>
      </c>
      <c r="C7" s="9" t="s">
        <v>1003</v>
      </c>
      <c r="D7" s="6"/>
      <c r="E7" s="6"/>
      <c r="F7" s="6"/>
      <c r="G7" s="6" t="s">
        <v>79</v>
      </c>
      <c r="H7" s="6" t="s">
        <v>270</v>
      </c>
      <c r="I7" s="6" t="s">
        <v>270</v>
      </c>
      <c r="J7" s="6"/>
      <c r="K7" s="9" t="s">
        <v>1004</v>
      </c>
    </row>
    <row r="8" customFormat="false" ht="14.15" hidden="false" customHeight="false" outlineLevel="0" collapsed="false">
      <c r="A8" s="22" t="s">
        <v>497</v>
      </c>
      <c r="B8" s="22" t="s">
        <v>1005</v>
      </c>
      <c r="C8" s="34" t="s">
        <v>1006</v>
      </c>
      <c r="D8" s="22"/>
      <c r="E8" s="22"/>
      <c r="F8" s="22"/>
      <c r="G8" s="22" t="s">
        <v>79</v>
      </c>
      <c r="H8" s="22" t="s">
        <v>270</v>
      </c>
      <c r="I8" s="22" t="s">
        <v>270</v>
      </c>
      <c r="J8" s="22"/>
      <c r="K8" s="34" t="s">
        <v>1007</v>
      </c>
    </row>
    <row r="9" customFormat="false" ht="26.85" hidden="false" customHeight="false" outlineLevel="0" collapsed="false">
      <c r="A9" s="25" t="s">
        <v>11</v>
      </c>
      <c r="B9" s="25" t="s">
        <v>1008</v>
      </c>
      <c r="C9" s="35" t="s">
        <v>1009</v>
      </c>
      <c r="D9" s="25"/>
      <c r="E9" s="25" t="n">
        <f aca="false">19</f>
        <v>19</v>
      </c>
      <c r="F9" s="25" t="s">
        <v>1010</v>
      </c>
      <c r="G9" s="25" t="s">
        <v>15</v>
      </c>
      <c r="H9" s="27" t="n">
        <f aca="false">VLOOKUP(G9,Klausurtage!$A$2:$B$15,2,FALSE())</f>
        <v>46041</v>
      </c>
      <c r="I9" s="25" t="s">
        <v>251</v>
      </c>
      <c r="J9" s="25" t="s">
        <v>92</v>
      </c>
      <c r="K9" s="35" t="s">
        <v>990</v>
      </c>
    </row>
    <row r="10" customFormat="false" ht="64.9" hidden="false" customHeight="false" outlineLevel="0" collapsed="false">
      <c r="A10" s="6" t="s">
        <v>11</v>
      </c>
      <c r="B10" s="6" t="s">
        <v>1011</v>
      </c>
      <c r="C10" s="9" t="s">
        <v>1012</v>
      </c>
      <c r="D10" s="6"/>
      <c r="E10" s="6" t="n">
        <f aca="false">20</f>
        <v>20</v>
      </c>
      <c r="F10" s="6" t="s">
        <v>1010</v>
      </c>
      <c r="G10" s="6" t="s">
        <v>103</v>
      </c>
      <c r="H10" s="8" t="n">
        <f aca="false">VLOOKUP(G10,Klausurtage!$A$2:$B$15,2,FALSE())</f>
        <v>46044</v>
      </c>
      <c r="I10" s="6" t="s">
        <v>251</v>
      </c>
      <c r="J10" s="6" t="s">
        <v>282</v>
      </c>
      <c r="K10" s="9" t="s">
        <v>1013</v>
      </c>
    </row>
    <row r="11" customFormat="false" ht="26.85" hidden="false" customHeight="false" outlineLevel="0" collapsed="false">
      <c r="A11" s="6" t="s">
        <v>11</v>
      </c>
      <c r="B11" s="6" t="s">
        <v>1014</v>
      </c>
      <c r="C11" s="9" t="s">
        <v>1015</v>
      </c>
      <c r="D11" s="6"/>
      <c r="E11" s="6" t="n">
        <f aca="false">16</f>
        <v>16</v>
      </c>
      <c r="F11" s="6" t="s">
        <v>1010</v>
      </c>
      <c r="G11" s="6" t="s">
        <v>113</v>
      </c>
      <c r="H11" s="8" t="n">
        <f aca="false">VLOOKUP(G11,Klausurtage!$A$2:$B$15,2,FALSE())</f>
        <v>46049</v>
      </c>
      <c r="I11" s="6" t="s">
        <v>859</v>
      </c>
      <c r="J11" s="6" t="s">
        <v>92</v>
      </c>
      <c r="K11" s="9" t="s">
        <v>1016</v>
      </c>
    </row>
    <row r="12" customFormat="false" ht="14.15" hidden="false" customHeight="false" outlineLevel="0" collapsed="false">
      <c r="A12" s="6" t="s">
        <v>11</v>
      </c>
      <c r="B12" s="6" t="s">
        <v>1017</v>
      </c>
      <c r="C12" s="9" t="s">
        <v>1018</v>
      </c>
      <c r="D12" s="6"/>
      <c r="E12" s="6" t="n">
        <f aca="false">22</f>
        <v>22</v>
      </c>
      <c r="F12" s="6" t="s">
        <v>1010</v>
      </c>
      <c r="G12" s="6" t="s">
        <v>88</v>
      </c>
      <c r="H12" s="8" t="n">
        <f aca="false">VLOOKUP(G12,Klausurtage!$A$2:$B$15,2,FALSE())</f>
        <v>46051</v>
      </c>
      <c r="I12" s="6" t="s">
        <v>859</v>
      </c>
      <c r="J12" s="6" t="s">
        <v>516</v>
      </c>
      <c r="K12" s="9" t="s">
        <v>1019</v>
      </c>
    </row>
    <row r="13" customFormat="false" ht="14.15" hidden="false" customHeight="false" outlineLevel="0" collapsed="false">
      <c r="A13" s="6" t="s">
        <v>11</v>
      </c>
      <c r="B13" s="6" t="s">
        <v>1020</v>
      </c>
      <c r="C13" s="9" t="s">
        <v>1021</v>
      </c>
      <c r="D13" s="6"/>
      <c r="E13" s="6"/>
      <c r="F13" s="6"/>
      <c r="G13" s="6" t="s">
        <v>79</v>
      </c>
      <c r="H13" s="6" t="s">
        <v>270</v>
      </c>
      <c r="I13" s="6" t="s">
        <v>270</v>
      </c>
      <c r="J13" s="6"/>
      <c r="K13" s="9" t="s">
        <v>1022</v>
      </c>
    </row>
    <row r="14" customFormat="false" ht="14.15" hidden="false" customHeight="false" outlineLevel="0" collapsed="false">
      <c r="A14" s="6" t="s">
        <v>11</v>
      </c>
      <c r="B14" s="6" t="s">
        <v>1023</v>
      </c>
      <c r="C14" s="9" t="s">
        <v>1024</v>
      </c>
      <c r="D14" s="6"/>
      <c r="E14" s="6"/>
      <c r="F14" s="6"/>
      <c r="G14" s="6" t="s">
        <v>79</v>
      </c>
      <c r="H14" s="6" t="s">
        <v>270</v>
      </c>
      <c r="I14" s="6" t="s">
        <v>270</v>
      </c>
      <c r="J14" s="6"/>
      <c r="K14" s="9" t="s">
        <v>1025</v>
      </c>
    </row>
    <row r="15" customFormat="false" ht="14.15" hidden="false" customHeight="false" outlineLevel="0" collapsed="false">
      <c r="A15" s="22" t="s">
        <v>11</v>
      </c>
      <c r="B15" s="22" t="s">
        <v>1026</v>
      </c>
      <c r="C15" s="34" t="s">
        <v>1027</v>
      </c>
      <c r="D15" s="22"/>
      <c r="E15" s="22"/>
      <c r="F15" s="22"/>
      <c r="G15" s="22" t="s">
        <v>79</v>
      </c>
      <c r="H15" s="22" t="s">
        <v>270</v>
      </c>
      <c r="I15" s="22" t="s">
        <v>270</v>
      </c>
      <c r="J15" s="22"/>
      <c r="K15" s="34" t="s">
        <v>1028</v>
      </c>
    </row>
    <row r="16" customFormat="false" ht="64.9" hidden="false" customHeight="false" outlineLevel="0" collapsed="false">
      <c r="A16" s="50" t="s">
        <v>497</v>
      </c>
      <c r="B16" s="50" t="s">
        <v>1029</v>
      </c>
      <c r="C16" s="51" t="s">
        <v>1030</v>
      </c>
      <c r="D16" s="50"/>
      <c r="E16" s="50" t="n">
        <f aca="false">1</f>
        <v>1</v>
      </c>
      <c r="F16" s="50"/>
      <c r="G16" s="50" t="s">
        <v>394</v>
      </c>
      <c r="H16" s="52" t="n">
        <f aca="false">VLOOKUP(G16,Klausurtage!$A$2:$B$15,2,FALSE())</f>
        <v>46053</v>
      </c>
      <c r="I16" s="50" t="s">
        <v>440</v>
      </c>
      <c r="J16" s="50" t="s">
        <v>94</v>
      </c>
      <c r="K16" s="51" t="s">
        <v>1031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3730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2025-07-30T13:06:08Z</dcterms:created>
  <dc:creator>Sonja Schloss</dc:creator>
  <dc:description/>
  <dc:language>de-DE</dc:language>
  <cp:lastModifiedBy/>
  <dcterms:modified xsi:type="dcterms:W3CDTF">2026-01-20T11:41:12Z</dcterms:modified>
  <cp:revision>371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